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65" windowHeight="9330" firstSheet="3" activeTab="7"/>
  </bookViews>
  <sheets>
    <sheet name="Chart$genomics-GDP" sheetId="1" r:id="rId1"/>
    <sheet name="per capita" sheetId="2" r:id="rId2"/>
    <sheet name="per capita sheet" sheetId="3" r:id="rId3"/>
    <sheet name="Funding by Country chart" sheetId="4" r:id="rId4"/>
    <sheet name="$by country sheet" sheetId="5" r:id="rId5"/>
    <sheet name="$by country" sheetId="6" r:id="rId6"/>
    <sheet name="country totals" sheetId="7" r:id="rId7"/>
    <sheet name="by institution" sheetId="8" r:id="rId8"/>
  </sheets>
  <definedNames/>
  <calcPr fullCalcOnLoad="1"/>
</workbook>
</file>

<file path=xl/sharedStrings.xml><?xml version="1.0" encoding="utf-8"?>
<sst xmlns="http://schemas.openxmlformats.org/spreadsheetml/2006/main" count="320" uniqueCount="183">
  <si>
    <t>Logistics</t>
  </si>
  <si>
    <t>Total Genomics Research</t>
  </si>
  <si>
    <t>Social / Legal / Ethical Research</t>
  </si>
  <si>
    <t>% Funding</t>
  </si>
  <si>
    <t>% Use of Funds</t>
  </si>
  <si>
    <t>% Genomics / R&amp;D</t>
  </si>
  <si>
    <t>Patents</t>
  </si>
  <si>
    <t>Patents Pending</t>
  </si>
  <si>
    <t>Others</t>
  </si>
  <si>
    <t>Notes</t>
  </si>
  <si>
    <t>1998 US$*</t>
  </si>
  <si>
    <t>1999 US$*</t>
  </si>
  <si>
    <t>2000 US$*</t>
  </si>
  <si>
    <t>Disb / Comm</t>
  </si>
  <si>
    <t>LI / BPE</t>
  </si>
  <si>
    <t>Currency</t>
  </si>
  <si>
    <t>GVT</t>
  </si>
  <si>
    <t>NP / C</t>
  </si>
  <si>
    <t>IN / PR</t>
  </si>
  <si>
    <t>Own</t>
  </si>
  <si>
    <t>Other</t>
  </si>
  <si>
    <t># US</t>
  </si>
  <si>
    <t>FL Gene</t>
  </si>
  <si>
    <t>FLH Gene</t>
  </si>
  <si>
    <t>Other Patents</t>
  </si>
  <si>
    <t>Non US Pending</t>
  </si>
  <si>
    <t>Genomics</t>
  </si>
  <si>
    <t>Social / Ethical</t>
  </si>
  <si>
    <t>GOVERNMENT / NON PROFIT/ ACADEMIC</t>
  </si>
  <si>
    <t>National Human Genome Research Institute, NIH (USA)</t>
  </si>
  <si>
    <t>C</t>
  </si>
  <si>
    <t xml:space="preserve">LI  </t>
  </si>
  <si>
    <t>$</t>
  </si>
  <si>
    <t>Wellcome Trust (UK)</t>
  </si>
  <si>
    <t>D</t>
  </si>
  <si>
    <t>BPE</t>
  </si>
  <si>
    <t>Pounds UK</t>
  </si>
  <si>
    <t>Science and Technology Agency (Japan)##</t>
  </si>
  <si>
    <t>LI</t>
  </si>
  <si>
    <t>Yen (Japan)</t>
  </si>
  <si>
    <t>Biotechnology&amp;Biol Sci Res Council, UK</t>
  </si>
  <si>
    <t>Pounds Sterling</t>
  </si>
  <si>
    <t>European Commission</t>
  </si>
  <si>
    <t>Euro</t>
  </si>
  <si>
    <t>National Science Foundation, USA</t>
  </si>
  <si>
    <t>US Department of Energy</t>
  </si>
  <si>
    <t>Ministry of Education, Sports, and Culture (Japan)##</t>
  </si>
  <si>
    <t>German microbial genomes&amp;proteomics#</t>
  </si>
  <si>
    <t>#</t>
  </si>
  <si>
    <t>German Human Genome Project</t>
  </si>
  <si>
    <t>Deutsch Marks</t>
  </si>
  <si>
    <t>-</t>
  </si>
  <si>
    <t>~30</t>
  </si>
  <si>
    <t>Ministry of Economy, Trade and Industy (Japan)^</t>
  </si>
  <si>
    <t>Ministry of Health and Welfare (Japan)</t>
  </si>
  <si>
    <t>Netherlands genomics research#</t>
  </si>
  <si>
    <t>American Cancer Society (USA)</t>
  </si>
  <si>
    <t>$US</t>
  </si>
  <si>
    <t>Knut and Alice Wallenberg Foundation (Sweden)</t>
  </si>
  <si>
    <t>Committed ~25,000,000 for genomics spending each year, 2001 - 2004</t>
  </si>
  <si>
    <t>GenHomme Program, France#</t>
  </si>
  <si>
    <t>The SNP Consortium</t>
  </si>
  <si>
    <t>Patent numbers are uncertain as of yet</t>
  </si>
  <si>
    <t>Cancer Genome Anatomy Program (NCI, NIH, USA)**</t>
  </si>
  <si>
    <t>Howard Hughes Medical Institute (USA)</t>
  </si>
  <si>
    <t>Kazusa DNA Research Institute (Japan)</t>
  </si>
  <si>
    <t xml:space="preserve">D </t>
  </si>
  <si>
    <t>Funding is from local gov't sources</t>
  </si>
  <si>
    <t>Imperial Cancer Research Fund (UK)</t>
  </si>
  <si>
    <t>Assoc contre les Myopathies (France)#</t>
  </si>
  <si>
    <t>Centre National de Sequencage Genoscope (France)</t>
  </si>
  <si>
    <t>French Francs</t>
  </si>
  <si>
    <t>Russian Genome Program^^</t>
  </si>
  <si>
    <t>Nat Center for Biotech Info, Nat Lib Med (NIH, USA)</t>
  </si>
  <si>
    <t>Merck Genome Research Institute (USA)***</t>
  </si>
  <si>
    <t>c</t>
  </si>
  <si>
    <t>Estonia Genome Foundation</t>
  </si>
  <si>
    <t>Ministry of Science and Technology, China^</t>
  </si>
  <si>
    <t>d</t>
  </si>
  <si>
    <t>Yuan</t>
  </si>
  <si>
    <t>National Natural Science Foundation, China^</t>
  </si>
  <si>
    <t>Flemish Genome Initiative, Belgium</t>
  </si>
  <si>
    <t>US $</t>
  </si>
  <si>
    <t>Environmental Genome Program (NIEHS, NIH, USA)</t>
  </si>
  <si>
    <t>Fondation Jean Dausset-CEPH (France)</t>
  </si>
  <si>
    <t xml:space="preserve">LI   </t>
  </si>
  <si>
    <t>US Defense Advanced Research Projects Agency</t>
  </si>
  <si>
    <t>National Institute of General Medical Sciences, NIH (USA)</t>
  </si>
  <si>
    <t>Australian Genome Research Facility</t>
  </si>
  <si>
    <t>Australian $</t>
  </si>
  <si>
    <t xml:space="preserve"> </t>
  </si>
  <si>
    <t>National Academy of Sciences, China^</t>
  </si>
  <si>
    <t>Program in Medical Genomics, NHMRC (Australia)</t>
  </si>
  <si>
    <t>.</t>
  </si>
  <si>
    <t>Waiting on confirmation of numbers</t>
  </si>
  <si>
    <t>Swedish Medical Research Council</t>
  </si>
  <si>
    <t>200,000*</t>
  </si>
  <si>
    <t xml:space="preserve">Total grant amount awarded </t>
  </si>
  <si>
    <t>Health Research Council of New Zealand</t>
  </si>
  <si>
    <t>New Zealand $</t>
  </si>
  <si>
    <t xml:space="preserve">Units for dollar amounts??  </t>
  </si>
  <si>
    <t>^Formerly Ministry of International Trade and Industry</t>
  </si>
  <si>
    <t>^^Figures in $US from Andrei Mirzabekov, Argonne National Laboratory (Illinois) and Engelhardt Institute of Molecular Biology (Moscow)</t>
  </si>
  <si>
    <t>**Based on meeting with Robert Strausberg 7 September 2000. They include CGAP and the Genetic Annotation Initiative of NCI as well as some NIAID and other institutes' funds for the Mammalian Gene Collection.</t>
  </si>
  <si>
    <t>#Data contributed by Manuel Hallen, European Commission, using his currency conversions</t>
  </si>
  <si>
    <t>##STA and MESC (Monbusho) unified in 2000 to become MEXT (Monbukagakusho), but genome program budgets are shown carried over</t>
  </si>
  <si>
    <t>^Data contributed by Huanming Yang, Director of the Beijing Genomics Institute, 4 March 2001</t>
  </si>
  <si>
    <t>Japan's government budgets (STA, MESC/MEXT, MITI, and MHW) forwarded by David Cyranoski April 2001</t>
  </si>
  <si>
    <t>***Merck's 1999 report on corporate philanthropy specifies "genome research" at $3.7M for 1998.  Figure for 2000 based on Mouse Genome Sequencing Consortium funding [$6.5M; http://www.mgri.org/grants.html#Consortium
] and the Alliance for Cellular Signaling [$500,000; http://www.mgri.org/grants.html#Southwestern
] so a slight underestimate, MGRI's two main grants; 1999 figure interpolated between 1998 and 2000 figures.</t>
  </si>
  <si>
    <t>***Currency conversions made using Purchasing Power Parity, per OECD figures Feb 2001 update (see http://www.oecd.org/std/ppp/pps.htm, and PPP data table at p. 7 of http://www.oecd.org//std/ppp1.pdf), except China (not an OECD member; used UNSTATS currency exchange rates instead)</t>
  </si>
  <si>
    <t>S Kr won</t>
  </si>
  <si>
    <t>Korea Research Institute of Bioscience and Biotech~</t>
  </si>
  <si>
    <r>
      <t xml:space="preserve">~figures on Korea from Robert Triendl and Renee Yoon, "Growth of Genomics &amp; Bioinformatics in Asia," </t>
    </r>
    <r>
      <rPr>
        <i/>
        <sz val="8"/>
        <rFont val="Arial"/>
        <family val="2"/>
      </rPr>
      <t>Genetic Engineering News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21</t>
    </r>
    <r>
      <rPr>
        <sz val="8"/>
        <rFont val="Arial"/>
        <family val="2"/>
      </rPr>
      <t xml:space="preserve"> (15): 50-51,81; Sept 1, 2001.</t>
    </r>
  </si>
  <si>
    <t>$ Canadian</t>
  </si>
  <si>
    <t>Genome Canada^*</t>
  </si>
  <si>
    <t>Genome Canada</t>
  </si>
  <si>
    <t>NHGRI</t>
  </si>
  <si>
    <t>NSF</t>
  </si>
  <si>
    <t>USA</t>
  </si>
  <si>
    <t>DoE</t>
  </si>
  <si>
    <t>Am Cancer Soc</t>
  </si>
  <si>
    <t>Japan</t>
  </si>
  <si>
    <t>STA</t>
  </si>
  <si>
    <t>MEXT</t>
  </si>
  <si>
    <t>METI</t>
  </si>
  <si>
    <t>Kazusa</t>
  </si>
  <si>
    <t>International</t>
  </si>
  <si>
    <t>EC</t>
  </si>
  <si>
    <t>SNP Consortium</t>
  </si>
  <si>
    <t>UK</t>
  </si>
  <si>
    <t>Wellcome Trust</t>
  </si>
  <si>
    <t>BBSRC</t>
  </si>
  <si>
    <t>Germany</t>
  </si>
  <si>
    <t>Microbial</t>
  </si>
  <si>
    <t>Human</t>
  </si>
  <si>
    <t>MHW (Koseicho)</t>
  </si>
  <si>
    <t>France</t>
  </si>
  <si>
    <t>GenHomme</t>
  </si>
  <si>
    <t>HHMI</t>
  </si>
  <si>
    <t>ICRF</t>
  </si>
  <si>
    <t>AFM</t>
  </si>
  <si>
    <t>Centre Nat Seq</t>
  </si>
  <si>
    <t>NCBI, NLM</t>
  </si>
  <si>
    <t>Merck GRI</t>
  </si>
  <si>
    <t>Korean Res Inst</t>
  </si>
  <si>
    <t>China</t>
  </si>
  <si>
    <t>Min S&amp;T</t>
  </si>
  <si>
    <t>NNSF</t>
  </si>
  <si>
    <t>Nat Acad Sci</t>
  </si>
  <si>
    <t>Fdn Jean Dausset-CEPH</t>
  </si>
  <si>
    <t>DARPA</t>
  </si>
  <si>
    <t>NIGMS</t>
  </si>
  <si>
    <t>Australia</t>
  </si>
  <si>
    <t>Genome Res Facil</t>
  </si>
  <si>
    <t>NHMRC</t>
  </si>
  <si>
    <t>Sweden</t>
  </si>
  <si>
    <t>MRC</t>
  </si>
  <si>
    <t>Russian Genome Program</t>
  </si>
  <si>
    <t>Netherlands genomics res</t>
  </si>
  <si>
    <t>Env Genome Prog, NIEHS</t>
  </si>
  <si>
    <t>CGAP. MGC (mainly NCI)</t>
  </si>
  <si>
    <t>Canada</t>
  </si>
  <si>
    <t>CIHR</t>
  </si>
  <si>
    <t>Belgium</t>
  </si>
  <si>
    <t>Country</t>
  </si>
  <si>
    <t>genomics</t>
  </si>
  <si>
    <t>GDP ($bil)</t>
  </si>
  <si>
    <t>$genomics/GDP</t>
  </si>
  <si>
    <t>GDP figures from OECD Oct 2001 estimates for EU15</t>
  </si>
  <si>
    <t>from CIA estimates Oct 2001 for all individual countries</t>
  </si>
  <si>
    <t>$Canadian</t>
  </si>
  <si>
    <t>Estonia</t>
  </si>
  <si>
    <t>Netherlands</t>
  </si>
  <si>
    <t>Russia</t>
  </si>
  <si>
    <t>Korea</t>
  </si>
  <si>
    <t>Population estimates from Mid-2000 projections of the US Bureau of Census</t>
  </si>
  <si>
    <t>International Data Base (http://www.census.gov/ipc/www/idbacc.html)</t>
  </si>
  <si>
    <t>pop (mil)</t>
  </si>
  <si>
    <t>$genomics per capita</t>
  </si>
  <si>
    <t>Population figures from US Bureau of Census International Database (est. for May 2000)</t>
  </si>
  <si>
    <t>Canadian Institute for Health Research#$</t>
  </si>
  <si>
    <t>#$CIHR figures from Veeran-Anne Singh, October 26, 2001</t>
  </si>
  <si>
    <t>^*from Genome Canada 2000-2001 annual report, corrected to annual spend by Genny Cardin, 11 July 2002; $180M commited (to be spent over 4 years), but only $750,000 expended in 2000-2001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</si>
</sst>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&quot;$&quot;#,##0.0"/>
    <numFmt numFmtId="168" formatCode="0.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.75"/>
      <name val="Arial"/>
      <family val="0"/>
    </font>
    <font>
      <b/>
      <sz val="11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15" applyNumberFormat="1" applyFont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3" fillId="0" borderId="0" xfId="0" applyNumberFormat="1" applyFont="1" applyAlignment="1">
      <alignment wrapText="1"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Genomics funding per GDP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'$by country'!$D$1</c:f>
              <c:strCache>
                <c:ptCount val="1"/>
                <c:pt idx="0">
                  <c:v>$genomics/GDP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'$by country'!$A$2:$A$17</c:f>
              <c:strCache>
                <c:ptCount val="16"/>
                <c:pt idx="0">
                  <c:v>Estonia</c:v>
                </c:pt>
                <c:pt idx="1">
                  <c:v>Canada</c:v>
                </c:pt>
                <c:pt idx="2">
                  <c:v>UK</c:v>
                </c:pt>
                <c:pt idx="3">
                  <c:v>Sweden</c:v>
                </c:pt>
                <c:pt idx="4">
                  <c:v>Netherlands</c:v>
                </c:pt>
                <c:pt idx="5">
                  <c:v>Japan</c:v>
                </c:pt>
                <c:pt idx="6">
                  <c:v>USA</c:v>
                </c:pt>
                <c:pt idx="7">
                  <c:v>Germany</c:v>
                </c:pt>
                <c:pt idx="8">
                  <c:v>France</c:v>
                </c:pt>
                <c:pt idx="9">
                  <c:v>Belgium</c:v>
                </c:pt>
                <c:pt idx="10">
                  <c:v>EC</c:v>
                </c:pt>
                <c:pt idx="11">
                  <c:v>Korea</c:v>
                </c:pt>
                <c:pt idx="12">
                  <c:v>Russia</c:v>
                </c:pt>
                <c:pt idx="13">
                  <c:v>Australia</c:v>
                </c:pt>
                <c:pt idx="14">
                  <c:v>China</c:v>
                </c:pt>
              </c:strCache>
            </c:strRef>
          </c:cat>
          <c:val>
            <c:numRef>
              <c:f>'$by country'!$D$2:$D$17</c:f>
              <c:numCache>
                <c:ptCount val="16"/>
                <c:pt idx="0">
                  <c:v>0.46938775510204084</c:v>
                </c:pt>
                <c:pt idx="1">
                  <c:v>0.20446624499806376</c:v>
                </c:pt>
                <c:pt idx="2">
                  <c:v>0.1797058823529412</c:v>
                </c:pt>
                <c:pt idx="3">
                  <c:v>0.1786802030456853</c:v>
                </c:pt>
                <c:pt idx="4">
                  <c:v>0.15447991761071062</c:v>
                </c:pt>
                <c:pt idx="5">
                  <c:v>0.09888888888888889</c:v>
                </c:pt>
                <c:pt idx="6">
                  <c:v>0.06289270300110407</c:v>
                </c:pt>
                <c:pt idx="7">
                  <c:v>0.05330578512396694</c:v>
                </c:pt>
                <c:pt idx="8">
                  <c:v>0.03390883977900552</c:v>
                </c:pt>
                <c:pt idx="9">
                  <c:v>0.02006172839506173</c:v>
                </c:pt>
                <c:pt idx="10">
                  <c:v>0.011489749237546594</c:v>
                </c:pt>
                <c:pt idx="11">
                  <c:v>0.010462987182840701</c:v>
                </c:pt>
                <c:pt idx="12">
                  <c:v>0.007410714285714286</c:v>
                </c:pt>
                <c:pt idx="13">
                  <c:v>0.006729475100942127</c:v>
                </c:pt>
                <c:pt idx="14">
                  <c:v>0.0030666666666666668</c:v>
                </c:pt>
              </c:numCache>
            </c:numRef>
          </c:val>
        </c:ser>
        <c:axId val="3535859"/>
        <c:axId val="31822732"/>
      </c:barChart>
      <c:catAx>
        <c:axId val="3535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22732"/>
        <c:crosses val="autoZero"/>
        <c:auto val="1"/>
        <c:lblOffset val="100"/>
        <c:noMultiLvlLbl val="0"/>
      </c:catAx>
      <c:valAx>
        <c:axId val="31822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5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Genomics Research Funding per capita,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capita sheet'!$D$1</c:f>
              <c:strCache>
                <c:ptCount val="1"/>
                <c:pt idx="0">
                  <c:v>$genomics per capita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 capita sheet'!$A$2:$A$15</c:f>
              <c:strCache>
                <c:ptCount val="14"/>
                <c:pt idx="0">
                  <c:v>UK</c:v>
                </c:pt>
                <c:pt idx="1">
                  <c:v>Sweden</c:v>
                </c:pt>
                <c:pt idx="2">
                  <c:v>Netherlands</c:v>
                </c:pt>
                <c:pt idx="3">
                  <c:v>Japan</c:v>
                </c:pt>
                <c:pt idx="4">
                  <c:v>USA</c:v>
                </c:pt>
                <c:pt idx="5">
                  <c:v>Germany</c:v>
                </c:pt>
                <c:pt idx="6">
                  <c:v>France</c:v>
                </c:pt>
                <c:pt idx="7">
                  <c:v>Belgium</c:v>
                </c:pt>
                <c:pt idx="8">
                  <c:v>Estonia</c:v>
                </c:pt>
                <c:pt idx="9">
                  <c:v>Canada</c:v>
                </c:pt>
                <c:pt idx="10">
                  <c:v>Korea</c:v>
                </c:pt>
                <c:pt idx="11">
                  <c:v>Australia</c:v>
                </c:pt>
                <c:pt idx="12">
                  <c:v>Russia</c:v>
                </c:pt>
                <c:pt idx="13">
                  <c:v>China</c:v>
                </c:pt>
              </c:strCache>
            </c:strRef>
          </c:cat>
          <c:val>
            <c:numRef>
              <c:f>'per capita sheet'!$D$2:$D$15</c:f>
              <c:numCache>
                <c:ptCount val="14"/>
                <c:pt idx="0">
                  <c:v>4.1075630252100845</c:v>
                </c:pt>
                <c:pt idx="1">
                  <c:v>3.9684329199549047</c:v>
                </c:pt>
                <c:pt idx="2">
                  <c:v>3.7735849056603774</c:v>
                </c:pt>
                <c:pt idx="3">
                  <c:v>2.4624505928853755</c:v>
                </c:pt>
                <c:pt idx="4">
                  <c:v>2.273584905660377</c:v>
                </c:pt>
                <c:pt idx="5">
                  <c:v>1.9202898550724639</c:v>
                </c:pt>
                <c:pt idx="6">
                  <c:v>0.8279932546374368</c:v>
                </c:pt>
                <c:pt idx="7">
                  <c:v>0.5078125</c:v>
                </c:pt>
                <c:pt idx="8">
                  <c:v>0.4825174825174825</c:v>
                </c:pt>
                <c:pt idx="9">
                  <c:v>0.2124600638977636</c:v>
                </c:pt>
                <c:pt idx="10">
                  <c:v>0.16842105263157894</c:v>
                </c:pt>
                <c:pt idx="11">
                  <c:v>0.15625</c:v>
                </c:pt>
                <c:pt idx="12">
                  <c:v>0.05684931506849315</c:v>
                </c:pt>
                <c:pt idx="13">
                  <c:v>0.010935023771790809</c:v>
                </c:pt>
              </c:numCache>
            </c:numRef>
          </c:val>
        </c:ser>
        <c:axId val="17969133"/>
        <c:axId val="27504470"/>
      </c:bar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04470"/>
        <c:crosses val="autoZero"/>
        <c:auto val="1"/>
        <c:lblOffset val="100"/>
        <c:noMultiLvlLbl val="0"/>
      </c:catAx>
      <c:valAx>
        <c:axId val="275044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69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Genomics Research Funding ($million)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'$by country sheet'!$B$1</c:f>
              <c:strCache>
                <c:ptCount val="1"/>
                <c:pt idx="0">
                  <c:v>genomics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'$by country sheet'!$A$2:$A$16</c:f>
              <c:strCache>
                <c:ptCount val="15"/>
                <c:pt idx="0">
                  <c:v>USA</c:v>
                </c:pt>
                <c:pt idx="1">
                  <c:v>Japan</c:v>
                </c:pt>
                <c:pt idx="2">
                  <c:v>UK</c:v>
                </c:pt>
                <c:pt idx="3">
                  <c:v>EC</c:v>
                </c:pt>
                <c:pt idx="4">
                  <c:v>Germany</c:v>
                </c:pt>
                <c:pt idx="5">
                  <c:v>Netherlands</c:v>
                </c:pt>
                <c:pt idx="6">
                  <c:v>France</c:v>
                </c:pt>
                <c:pt idx="7">
                  <c:v>Sweden</c:v>
                </c:pt>
                <c:pt idx="8">
                  <c:v>China</c:v>
                </c:pt>
                <c:pt idx="9">
                  <c:v>Russia</c:v>
                </c:pt>
                <c:pt idx="10">
                  <c:v>Korea</c:v>
                </c:pt>
                <c:pt idx="11">
                  <c:v>Estonia</c:v>
                </c:pt>
                <c:pt idx="12">
                  <c:v>Canada</c:v>
                </c:pt>
                <c:pt idx="13">
                  <c:v>Belgium</c:v>
                </c:pt>
                <c:pt idx="14">
                  <c:v>Australia</c:v>
                </c:pt>
              </c:strCache>
            </c:strRef>
          </c:cat>
          <c:val>
            <c:numRef>
              <c:f>'$by country sheet'!$B$2:$B$16</c:f>
              <c:numCache>
                <c:ptCount val="15"/>
                <c:pt idx="0">
                  <c:v>626.5999999999999</c:v>
                </c:pt>
                <c:pt idx="1">
                  <c:v>311.5</c:v>
                </c:pt>
                <c:pt idx="2">
                  <c:v>244.4</c:v>
                </c:pt>
                <c:pt idx="3">
                  <c:v>108.5</c:v>
                </c:pt>
                <c:pt idx="4">
                  <c:v>103.2</c:v>
                </c:pt>
                <c:pt idx="5">
                  <c:v>60</c:v>
                </c:pt>
                <c:pt idx="6">
                  <c:v>49.1</c:v>
                </c:pt>
                <c:pt idx="7">
                  <c:v>35.2</c:v>
                </c:pt>
                <c:pt idx="8">
                  <c:v>13.8</c:v>
                </c:pt>
                <c:pt idx="9">
                  <c:v>8.3</c:v>
                </c:pt>
                <c:pt idx="10">
                  <c:v>8</c:v>
                </c:pt>
                <c:pt idx="11">
                  <c:v>6.9</c:v>
                </c:pt>
                <c:pt idx="12">
                  <c:v>6.65</c:v>
                </c:pt>
                <c:pt idx="13">
                  <c:v>5.2</c:v>
                </c:pt>
                <c:pt idx="14">
                  <c:v>3</c:v>
                </c:pt>
              </c:numCache>
            </c:numRef>
          </c:val>
        </c:ser>
        <c:axId val="46213639"/>
        <c:axId val="13269568"/>
      </c:barChart>
      <c:catAx>
        <c:axId val="4621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69568"/>
        <c:crosses val="autoZero"/>
        <c:auto val="1"/>
        <c:lblOffset val="100"/>
        <c:noMultiLvlLbl val="0"/>
      </c:catAx>
      <c:valAx>
        <c:axId val="13269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13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829300"/>
    <xdr:graphicFrame>
      <xdr:nvGraphicFramePr>
        <xdr:cNvPr id="1" name="Chart 1"/>
        <xdr:cNvGraphicFramePr/>
      </xdr:nvGraphicFramePr>
      <xdr:xfrm>
        <a:off x="0" y="0"/>
        <a:ext cx="95726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F29" sqref="F29"/>
    </sheetView>
  </sheetViews>
  <sheetFormatPr defaultColWidth="9.140625" defaultRowHeight="12.75"/>
  <cols>
    <col min="3" max="3" width="8.140625" style="0" bestFit="1" customWidth="1"/>
    <col min="4" max="4" width="19.00390625" style="20" bestFit="1" customWidth="1"/>
  </cols>
  <sheetData>
    <row r="1" spans="1:4" ht="12.75">
      <c r="A1" t="s">
        <v>164</v>
      </c>
      <c r="B1" t="s">
        <v>165</v>
      </c>
      <c r="C1" t="s">
        <v>177</v>
      </c>
      <c r="D1" s="20" t="s">
        <v>178</v>
      </c>
    </row>
    <row r="2" spans="1:4" ht="12.75">
      <c r="A2" s="4" t="s">
        <v>129</v>
      </c>
      <c r="B2" s="2">
        <v>244.4</v>
      </c>
      <c r="C2" s="17">
        <v>59.5</v>
      </c>
      <c r="D2" s="20">
        <f aca="true" t="shared" si="0" ref="D2:D15">B2/C2</f>
        <v>4.1075630252100845</v>
      </c>
    </row>
    <row r="3" spans="1:4" ht="12.75">
      <c r="A3" s="4" t="s">
        <v>155</v>
      </c>
      <c r="B3" s="2">
        <v>35.2</v>
      </c>
      <c r="C3" s="17">
        <v>8.87</v>
      </c>
      <c r="D3" s="20">
        <f t="shared" si="0"/>
        <v>3.9684329199549047</v>
      </c>
    </row>
    <row r="4" spans="1:4" ht="12.75">
      <c r="A4" s="4" t="s">
        <v>172</v>
      </c>
      <c r="B4" s="2">
        <v>60</v>
      </c>
      <c r="C4" s="17">
        <v>15.9</v>
      </c>
      <c r="D4" s="20">
        <f t="shared" si="0"/>
        <v>3.7735849056603774</v>
      </c>
    </row>
    <row r="5" spans="1:4" ht="12.75">
      <c r="A5" s="4" t="s">
        <v>121</v>
      </c>
      <c r="B5" s="2">
        <v>311.5</v>
      </c>
      <c r="C5" s="17">
        <v>126.5</v>
      </c>
      <c r="D5" s="20">
        <f t="shared" si="0"/>
        <v>2.4624505928853755</v>
      </c>
    </row>
    <row r="6" spans="1:4" ht="12.75">
      <c r="A6" s="5" t="s">
        <v>118</v>
      </c>
      <c r="B6" s="2">
        <f>SUM('country totals'!B2:B12)</f>
        <v>626.5999999999999</v>
      </c>
      <c r="C6" s="19">
        <v>275.6</v>
      </c>
      <c r="D6" s="20">
        <f t="shared" si="0"/>
        <v>2.273584905660377</v>
      </c>
    </row>
    <row r="7" spans="1:4" ht="12.75">
      <c r="A7" s="4" t="s">
        <v>132</v>
      </c>
      <c r="B7" s="2">
        <v>159</v>
      </c>
      <c r="C7" s="18">
        <v>82.8</v>
      </c>
      <c r="D7" s="20">
        <f t="shared" si="0"/>
        <v>1.9202898550724639</v>
      </c>
    </row>
    <row r="8" spans="1:4" ht="12.75">
      <c r="A8" s="4" t="s">
        <v>136</v>
      </c>
      <c r="B8" s="2">
        <v>49.1</v>
      </c>
      <c r="C8" s="18">
        <v>59.3</v>
      </c>
      <c r="D8" s="20">
        <f t="shared" si="0"/>
        <v>0.8279932546374368</v>
      </c>
    </row>
    <row r="9" spans="1:4" ht="12.75">
      <c r="A9" s="4" t="s">
        <v>163</v>
      </c>
      <c r="B9" s="2">
        <v>5.2</v>
      </c>
      <c r="C9" s="18">
        <v>10.24</v>
      </c>
      <c r="D9" s="20">
        <f t="shared" si="0"/>
        <v>0.5078125</v>
      </c>
    </row>
    <row r="10" spans="1:4" ht="12.75">
      <c r="A10" s="4" t="s">
        <v>171</v>
      </c>
      <c r="B10" s="2">
        <v>6.9</v>
      </c>
      <c r="C10" s="17">
        <v>14.3</v>
      </c>
      <c r="D10" s="20">
        <f>B10/C10</f>
        <v>0.4825174825174825</v>
      </c>
    </row>
    <row r="11" spans="1:4" ht="12.75">
      <c r="A11" s="4" t="s">
        <v>161</v>
      </c>
      <c r="B11" s="2">
        <v>6.65</v>
      </c>
      <c r="C11" s="17">
        <v>31.3</v>
      </c>
      <c r="D11" s="20">
        <f t="shared" si="0"/>
        <v>0.2124600638977636</v>
      </c>
    </row>
    <row r="12" spans="1:4" ht="12.75">
      <c r="A12" s="4" t="s">
        <v>174</v>
      </c>
      <c r="B12" s="2">
        <v>8</v>
      </c>
      <c r="C12" s="17">
        <v>47.5</v>
      </c>
      <c r="D12" s="20">
        <f t="shared" si="0"/>
        <v>0.16842105263157894</v>
      </c>
    </row>
    <row r="13" spans="1:4" ht="12.75">
      <c r="A13" s="4" t="s">
        <v>152</v>
      </c>
      <c r="B13" s="2">
        <v>3</v>
      </c>
      <c r="C13" s="17">
        <v>19.2</v>
      </c>
      <c r="D13" s="20">
        <f t="shared" si="0"/>
        <v>0.15625</v>
      </c>
    </row>
    <row r="14" spans="1:4" ht="12.75">
      <c r="A14" s="4" t="s">
        <v>173</v>
      </c>
      <c r="B14" s="2">
        <v>8.3</v>
      </c>
      <c r="C14" s="17">
        <v>146</v>
      </c>
      <c r="D14" s="20">
        <f t="shared" si="0"/>
        <v>0.05684931506849315</v>
      </c>
    </row>
    <row r="15" spans="1:4" ht="12.75">
      <c r="A15" s="4" t="s">
        <v>145</v>
      </c>
      <c r="B15" s="2">
        <v>13.8</v>
      </c>
      <c r="C15" s="17">
        <v>1262</v>
      </c>
      <c r="D15" s="20">
        <f t="shared" si="0"/>
        <v>0.010935023771790809</v>
      </c>
    </row>
    <row r="17" ht="12.75">
      <c r="A17" s="4" t="s">
        <v>179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:B16"/>
    </sheetView>
  </sheetViews>
  <sheetFormatPr defaultColWidth="9.140625" defaultRowHeight="12.75"/>
  <sheetData>
    <row r="1" spans="1:2" ht="12.75">
      <c r="A1" t="s">
        <v>164</v>
      </c>
      <c r="B1" t="s">
        <v>165</v>
      </c>
    </row>
    <row r="2" spans="1:2" ht="12.75">
      <c r="A2" s="5" t="s">
        <v>118</v>
      </c>
      <c r="B2" s="2">
        <f>SUM('country totals'!B2:B12)</f>
        <v>626.5999999999999</v>
      </c>
    </row>
    <row r="3" spans="1:2" ht="12.75">
      <c r="A3" s="4" t="s">
        <v>121</v>
      </c>
      <c r="B3" s="2">
        <v>311.5</v>
      </c>
    </row>
    <row r="4" spans="1:2" ht="12.75">
      <c r="A4" s="4" t="s">
        <v>129</v>
      </c>
      <c r="B4" s="2">
        <v>244.4</v>
      </c>
    </row>
    <row r="5" spans="1:2" ht="12.75">
      <c r="A5" s="4" t="s">
        <v>127</v>
      </c>
      <c r="B5" s="2">
        <v>108.5</v>
      </c>
    </row>
    <row r="6" spans="1:2" ht="12.75">
      <c r="A6" s="4" t="s">
        <v>132</v>
      </c>
      <c r="B6" s="2">
        <v>103.2</v>
      </c>
    </row>
    <row r="7" spans="1:2" ht="12.75">
      <c r="A7" s="4" t="s">
        <v>172</v>
      </c>
      <c r="B7" s="2">
        <v>60</v>
      </c>
    </row>
    <row r="8" spans="1:2" ht="12.75">
      <c r="A8" s="4" t="s">
        <v>136</v>
      </c>
      <c r="B8" s="2">
        <v>49.1</v>
      </c>
    </row>
    <row r="9" spans="1:2" ht="12.75">
      <c r="A9" s="4" t="s">
        <v>155</v>
      </c>
      <c r="B9" s="2">
        <v>35.2</v>
      </c>
    </row>
    <row r="10" spans="1:2" ht="12.75">
      <c r="A10" s="4" t="s">
        <v>145</v>
      </c>
      <c r="B10" s="2">
        <v>13.8</v>
      </c>
    </row>
    <row r="11" spans="1:2" ht="12.75">
      <c r="A11" s="4" t="s">
        <v>173</v>
      </c>
      <c r="B11" s="2">
        <v>8.3</v>
      </c>
    </row>
    <row r="12" spans="1:2" ht="12.75">
      <c r="A12" s="4" t="s">
        <v>174</v>
      </c>
      <c r="B12" s="2">
        <v>8</v>
      </c>
    </row>
    <row r="13" spans="1:2" ht="12.75">
      <c r="A13" s="4" t="s">
        <v>171</v>
      </c>
      <c r="B13" s="2">
        <v>6.9</v>
      </c>
    </row>
    <row r="14" spans="1:2" ht="12.75">
      <c r="A14" s="4" t="s">
        <v>161</v>
      </c>
      <c r="B14" s="2">
        <v>6.65</v>
      </c>
    </row>
    <row r="15" spans="1:2" ht="12.75">
      <c r="A15" s="4" t="s">
        <v>163</v>
      </c>
      <c r="B15" s="2">
        <v>5.2</v>
      </c>
    </row>
    <row r="16" spans="1:2" ht="12.75">
      <c r="A16" s="4" t="s">
        <v>152</v>
      </c>
      <c r="B16" s="2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4" sqref="B4"/>
    </sheetView>
  </sheetViews>
  <sheetFormatPr defaultColWidth="9.140625" defaultRowHeight="12.75"/>
  <cols>
    <col min="1" max="1" width="23.421875" style="0" bestFit="1" customWidth="1"/>
    <col min="2" max="2" width="10.28125" style="0" customWidth="1"/>
    <col min="3" max="3" width="9.140625" style="15" customWidth="1"/>
    <col min="4" max="4" width="14.7109375" style="16" bestFit="1" customWidth="1"/>
    <col min="6" max="6" width="19.00390625" style="0" bestFit="1" customWidth="1"/>
  </cols>
  <sheetData>
    <row r="1" spans="1:6" ht="12.75">
      <c r="A1" t="s">
        <v>164</v>
      </c>
      <c r="B1" t="s">
        <v>165</v>
      </c>
      <c r="C1" s="15" t="s">
        <v>166</v>
      </c>
      <c r="D1" s="16" t="s">
        <v>167</v>
      </c>
      <c r="E1" t="s">
        <v>177</v>
      </c>
      <c r="F1" t="s">
        <v>178</v>
      </c>
    </row>
    <row r="2" spans="1:6" ht="12.75">
      <c r="A2" s="4" t="s">
        <v>171</v>
      </c>
      <c r="B2" s="2">
        <v>6.9</v>
      </c>
      <c r="C2" s="15">
        <v>14.7</v>
      </c>
      <c r="D2" s="16">
        <f>B2/C2</f>
        <v>0.46938775510204084</v>
      </c>
      <c r="E2" s="17">
        <v>14.3</v>
      </c>
      <c r="F2">
        <f>B2/E2</f>
        <v>0.4825174825174825</v>
      </c>
    </row>
    <row r="3" spans="1:6" ht="12.75">
      <c r="A3" s="4" t="s">
        <v>161</v>
      </c>
      <c r="B3" s="2">
        <v>6.65</v>
      </c>
      <c r="C3" s="15">
        <v>774.7</v>
      </c>
      <c r="D3" s="16">
        <f aca="true" t="shared" si="0" ref="D3:D16">B3/C3</f>
        <v>0.008583967987608106</v>
      </c>
      <c r="E3" s="17">
        <v>31.3</v>
      </c>
      <c r="F3">
        <f aca="true" t="shared" si="1" ref="F3:F16">B3/E3</f>
        <v>0.2124600638977636</v>
      </c>
    </row>
    <row r="4" spans="1:6" ht="12.75">
      <c r="A4" s="4" t="s">
        <v>129</v>
      </c>
      <c r="B4" s="2">
        <v>244.4</v>
      </c>
      <c r="C4" s="15">
        <v>1360</v>
      </c>
      <c r="D4" s="16">
        <f t="shared" si="0"/>
        <v>0.1797058823529412</v>
      </c>
      <c r="E4" s="17">
        <v>59.5</v>
      </c>
      <c r="F4">
        <f t="shared" si="1"/>
        <v>4.1075630252100845</v>
      </c>
    </row>
    <row r="5" spans="1:6" ht="12.75">
      <c r="A5" s="4" t="s">
        <v>155</v>
      </c>
      <c r="B5" s="2">
        <v>35.2</v>
      </c>
      <c r="C5" s="15">
        <v>197</v>
      </c>
      <c r="D5" s="16">
        <f t="shared" si="0"/>
        <v>0.1786802030456853</v>
      </c>
      <c r="E5" s="17">
        <v>8.87</v>
      </c>
      <c r="F5">
        <f t="shared" si="1"/>
        <v>3.9684329199549047</v>
      </c>
    </row>
    <row r="6" spans="1:6" ht="12.75">
      <c r="A6" s="4" t="s">
        <v>172</v>
      </c>
      <c r="B6" s="2">
        <v>60</v>
      </c>
      <c r="C6" s="15">
        <v>388.4</v>
      </c>
      <c r="D6" s="16">
        <f t="shared" si="0"/>
        <v>0.15447991761071062</v>
      </c>
      <c r="E6" s="17">
        <v>15.9</v>
      </c>
      <c r="F6">
        <f t="shared" si="1"/>
        <v>3.7735849056603774</v>
      </c>
    </row>
    <row r="7" spans="1:6" ht="12.75">
      <c r="A7" s="4" t="s">
        <v>121</v>
      </c>
      <c r="B7" s="2">
        <v>311.5</v>
      </c>
      <c r="C7" s="15">
        <v>3150</v>
      </c>
      <c r="D7" s="16">
        <f t="shared" si="0"/>
        <v>0.09888888888888889</v>
      </c>
      <c r="E7" s="17">
        <v>126.5</v>
      </c>
      <c r="F7">
        <f t="shared" si="1"/>
        <v>2.4624505928853755</v>
      </c>
    </row>
    <row r="8" spans="1:6" s="2" customFormat="1" ht="12.75">
      <c r="A8" s="5" t="s">
        <v>118</v>
      </c>
      <c r="B8" s="2">
        <f>SUM('country totals'!B2:B12)</f>
        <v>626.5999999999999</v>
      </c>
      <c r="C8" s="15">
        <v>9963</v>
      </c>
      <c r="D8" s="16">
        <f t="shared" si="0"/>
        <v>0.06289270300110407</v>
      </c>
      <c r="E8" s="18">
        <v>275.6</v>
      </c>
      <c r="F8">
        <f t="shared" si="1"/>
        <v>2.273584905660377</v>
      </c>
    </row>
    <row r="9" spans="1:6" s="2" customFormat="1" ht="12.75">
      <c r="A9" s="4" t="s">
        <v>132</v>
      </c>
      <c r="B9" s="2">
        <v>103.2</v>
      </c>
      <c r="C9" s="15">
        <v>1936</v>
      </c>
      <c r="D9" s="16">
        <f t="shared" si="0"/>
        <v>0.05330578512396694</v>
      </c>
      <c r="E9" s="18">
        <v>82.8</v>
      </c>
      <c r="F9">
        <f t="shared" si="1"/>
        <v>1.2463768115942029</v>
      </c>
    </row>
    <row r="10" spans="1:6" ht="12.75">
      <c r="A10" s="4" t="s">
        <v>136</v>
      </c>
      <c r="B10" s="2">
        <v>49.1</v>
      </c>
      <c r="C10" s="15">
        <v>1448</v>
      </c>
      <c r="D10" s="16">
        <f t="shared" si="0"/>
        <v>0.03390883977900552</v>
      </c>
      <c r="E10" s="18">
        <v>59.3</v>
      </c>
      <c r="F10">
        <f t="shared" si="1"/>
        <v>0.8279932546374368</v>
      </c>
    </row>
    <row r="11" spans="1:6" ht="12.75">
      <c r="A11" s="4" t="s">
        <v>163</v>
      </c>
      <c r="B11" s="2">
        <v>5.2</v>
      </c>
      <c r="C11" s="15">
        <v>259.2</v>
      </c>
      <c r="D11" s="16">
        <f t="shared" si="0"/>
        <v>0.02006172839506173</v>
      </c>
      <c r="E11" s="18">
        <v>10.24</v>
      </c>
      <c r="F11">
        <f t="shared" si="1"/>
        <v>0.5078125</v>
      </c>
    </row>
    <row r="12" spans="1:5" ht="12.75">
      <c r="A12" s="4" t="s">
        <v>127</v>
      </c>
      <c r="B12" s="2">
        <v>108.5</v>
      </c>
      <c r="C12" s="15">
        <v>9443.2</v>
      </c>
      <c r="D12" s="16">
        <f t="shared" si="0"/>
        <v>0.011489749237546594</v>
      </c>
      <c r="E12" s="17"/>
    </row>
    <row r="13" spans="1:6" ht="12.75">
      <c r="A13" s="4" t="s">
        <v>174</v>
      </c>
      <c r="B13" s="2">
        <v>8</v>
      </c>
      <c r="C13" s="15">
        <v>764.6</v>
      </c>
      <c r="D13" s="16">
        <f t="shared" si="0"/>
        <v>0.010462987182840701</v>
      </c>
      <c r="E13" s="17">
        <v>47.5</v>
      </c>
      <c r="F13">
        <f t="shared" si="1"/>
        <v>0.16842105263157894</v>
      </c>
    </row>
    <row r="14" spans="1:6" ht="12.75">
      <c r="A14" s="4" t="s">
        <v>173</v>
      </c>
      <c r="B14" s="2">
        <v>8.3</v>
      </c>
      <c r="C14" s="15">
        <v>1120</v>
      </c>
      <c r="D14" s="16">
        <f t="shared" si="0"/>
        <v>0.007410714285714286</v>
      </c>
      <c r="E14" s="17">
        <v>146</v>
      </c>
      <c r="F14">
        <f t="shared" si="1"/>
        <v>0.05684931506849315</v>
      </c>
    </row>
    <row r="15" spans="1:6" ht="12.75">
      <c r="A15" s="4" t="s">
        <v>152</v>
      </c>
      <c r="B15" s="2">
        <v>3</v>
      </c>
      <c r="C15" s="15">
        <v>445.8</v>
      </c>
      <c r="D15" s="16">
        <f t="shared" si="0"/>
        <v>0.006729475100942127</v>
      </c>
      <c r="E15" s="17">
        <v>19.2</v>
      </c>
      <c r="F15">
        <f t="shared" si="1"/>
        <v>0.15625</v>
      </c>
    </row>
    <row r="16" spans="1:6" ht="12.75">
      <c r="A16" s="4" t="s">
        <v>145</v>
      </c>
      <c r="B16" s="2">
        <v>13.8</v>
      </c>
      <c r="C16" s="15">
        <v>4500</v>
      </c>
      <c r="D16" s="16">
        <f t="shared" si="0"/>
        <v>0.0030666666666666668</v>
      </c>
      <c r="E16" s="17">
        <v>1262</v>
      </c>
      <c r="F16">
        <f t="shared" si="1"/>
        <v>0.010935023771790809</v>
      </c>
    </row>
    <row r="17" ht="12.75"/>
    <row r="18" ht="12.75">
      <c r="A18" s="8" t="s">
        <v>168</v>
      </c>
    </row>
    <row r="19" ht="12.75">
      <c r="A19" s="8" t="s">
        <v>169</v>
      </c>
    </row>
    <row r="20" ht="12.75">
      <c r="A20" t="s">
        <v>175</v>
      </c>
    </row>
    <row r="21" ht="12.75">
      <c r="A21" t="s">
        <v>176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77"/>
  <sheetViews>
    <sheetView workbookViewId="0" topLeftCell="A43">
      <selection activeCell="C26" sqref="C26"/>
    </sheetView>
  </sheetViews>
  <sheetFormatPr defaultColWidth="9.140625" defaultRowHeight="12.75"/>
  <cols>
    <col min="1" max="1" width="35.421875" style="1" bestFit="1" customWidth="1"/>
    <col min="2" max="2" width="8.00390625" style="2" bestFit="1" customWidth="1"/>
    <col min="3" max="3" width="9.140625" style="2" customWidth="1"/>
  </cols>
  <sheetData>
    <row r="1" spans="1:3" ht="12.75">
      <c r="A1" s="5" t="s">
        <v>118</v>
      </c>
      <c r="C1" s="2">
        <f>SUM('country totals'!B2:B12)</f>
        <v>626.5999999999999</v>
      </c>
    </row>
    <row r="2" spans="1:2" ht="12.75">
      <c r="A2" s="8" t="s">
        <v>116</v>
      </c>
      <c r="B2">
        <v>326.4</v>
      </c>
    </row>
    <row r="3" spans="1:2" ht="12.75">
      <c r="A3" s="8" t="s">
        <v>117</v>
      </c>
      <c r="B3">
        <v>92</v>
      </c>
    </row>
    <row r="4" spans="1:2" ht="12.75">
      <c r="A4" s="8" t="s">
        <v>119</v>
      </c>
      <c r="B4">
        <v>88.9</v>
      </c>
    </row>
    <row r="5" spans="1:2" ht="12.75">
      <c r="A5" s="8" t="s">
        <v>120</v>
      </c>
      <c r="B5">
        <v>50</v>
      </c>
    </row>
    <row r="6" spans="1:2" ht="12.75">
      <c r="A6" s="8" t="s">
        <v>160</v>
      </c>
      <c r="B6">
        <v>21.8</v>
      </c>
    </row>
    <row r="7" spans="1:2" ht="12.75">
      <c r="A7" s="8" t="s">
        <v>159</v>
      </c>
      <c r="B7">
        <v>5</v>
      </c>
    </row>
    <row r="8" spans="1:2" ht="12.75">
      <c r="A8" s="8" t="s">
        <v>138</v>
      </c>
      <c r="B8">
        <v>20</v>
      </c>
    </row>
    <row r="9" spans="1:2" ht="12.75">
      <c r="A9" s="8" t="s">
        <v>142</v>
      </c>
      <c r="B9">
        <v>8</v>
      </c>
    </row>
    <row r="10" spans="1:2" ht="12.75">
      <c r="A10" s="8" t="s">
        <v>143</v>
      </c>
      <c r="B10">
        <v>7</v>
      </c>
    </row>
    <row r="11" spans="1:2" ht="12.75">
      <c r="A11" s="8" t="s">
        <v>150</v>
      </c>
      <c r="B11">
        <v>4</v>
      </c>
    </row>
    <row r="12" spans="1:2" ht="12.75">
      <c r="A12" s="8" t="s">
        <v>151</v>
      </c>
      <c r="B12">
        <v>3.5</v>
      </c>
    </row>
    <row r="13" spans="1:2" ht="12.75">
      <c r="A13" s="4"/>
      <c r="B13"/>
    </row>
    <row r="14" spans="1:3" ht="12.75">
      <c r="A14" s="4" t="s">
        <v>121</v>
      </c>
      <c r="B14"/>
      <c r="C14" s="2">
        <f>SUM('country totals'!B25:B27)</f>
        <v>0.75</v>
      </c>
    </row>
    <row r="15" spans="1:2" ht="12.75">
      <c r="A15" s="8" t="s">
        <v>122</v>
      </c>
      <c r="B15">
        <v>115.4</v>
      </c>
    </row>
    <row r="16" spans="1:2" ht="12.75">
      <c r="A16" s="8" t="s">
        <v>123</v>
      </c>
      <c r="B16">
        <v>84.4</v>
      </c>
    </row>
    <row r="17" spans="1:2" ht="12.75">
      <c r="A17" s="8" t="s">
        <v>124</v>
      </c>
      <c r="B17">
        <v>72.9</v>
      </c>
    </row>
    <row r="18" spans="1:2" ht="12.75">
      <c r="A18" s="8" t="s">
        <v>135</v>
      </c>
      <c r="B18">
        <v>65.4</v>
      </c>
    </row>
    <row r="19" spans="1:2" ht="12.75">
      <c r="A19" s="8" t="s">
        <v>125</v>
      </c>
      <c r="B19">
        <v>14.4</v>
      </c>
    </row>
    <row r="20" spans="1:2" ht="12.75">
      <c r="A20" s="4"/>
      <c r="B20"/>
    </row>
    <row r="21" spans="1:3" ht="12.75">
      <c r="A21" s="4" t="s">
        <v>129</v>
      </c>
      <c r="B21"/>
      <c r="C21" s="2">
        <f>SUM(B22:B24)</f>
        <v>244.4</v>
      </c>
    </row>
    <row r="22" spans="1:2" ht="12.75">
      <c r="A22" s="8" t="s">
        <v>130</v>
      </c>
      <c r="B22">
        <v>121.4</v>
      </c>
    </row>
    <row r="23" spans="1:2" ht="12.75">
      <c r="A23" s="8" t="s">
        <v>131</v>
      </c>
      <c r="B23">
        <v>110.1</v>
      </c>
    </row>
    <row r="24" spans="1:2" ht="12.75">
      <c r="A24" s="8" t="s">
        <v>139</v>
      </c>
      <c r="B24">
        <v>12.9</v>
      </c>
    </row>
    <row r="25" spans="1:2" ht="12.75">
      <c r="A25" s="4"/>
      <c r="B25"/>
    </row>
    <row r="26" spans="1:3" ht="12.75">
      <c r="A26" s="4" t="s">
        <v>161</v>
      </c>
      <c r="B26"/>
      <c r="C26" s="2">
        <f>SUM(B27:B28)</f>
        <v>6.65</v>
      </c>
    </row>
    <row r="27" spans="1:2" ht="12.75">
      <c r="A27" s="8" t="s">
        <v>115</v>
      </c>
      <c r="B27">
        <v>0.75</v>
      </c>
    </row>
    <row r="28" spans="1:2" ht="12.75">
      <c r="A28" s="8" t="s">
        <v>162</v>
      </c>
      <c r="B28">
        <v>5.9</v>
      </c>
    </row>
    <row r="29" spans="1:2" ht="12.75">
      <c r="A29" s="8"/>
      <c r="B29"/>
    </row>
    <row r="30" spans="1:3" ht="12.75">
      <c r="A30" s="4" t="s">
        <v>132</v>
      </c>
      <c r="B30"/>
      <c r="C30" s="2">
        <f>SUM(B31:B32)</f>
        <v>103.2</v>
      </c>
    </row>
    <row r="31" spans="1:2" ht="12.75">
      <c r="A31" s="8" t="s">
        <v>133</v>
      </c>
      <c r="B31">
        <v>80</v>
      </c>
    </row>
    <row r="32" spans="1:2" ht="12.75">
      <c r="A32" s="8" t="s">
        <v>134</v>
      </c>
      <c r="B32">
        <v>23.2</v>
      </c>
    </row>
    <row r="33" spans="1:2" ht="12.75">
      <c r="A33" s="8"/>
      <c r="B33"/>
    </row>
    <row r="34" spans="1:3" ht="12.75">
      <c r="A34" s="4" t="s">
        <v>136</v>
      </c>
      <c r="B34"/>
      <c r="C34" s="2">
        <f>SUM(B35:B38)</f>
        <v>49.1</v>
      </c>
    </row>
    <row r="35" spans="1:2" ht="12.75">
      <c r="A35" s="8" t="s">
        <v>137</v>
      </c>
      <c r="B35">
        <v>26</v>
      </c>
    </row>
    <row r="36" spans="1:2" ht="12.75">
      <c r="A36" s="8" t="s">
        <v>140</v>
      </c>
      <c r="B36">
        <v>9.2</v>
      </c>
    </row>
    <row r="37" spans="1:2" ht="12.75">
      <c r="A37" s="8" t="s">
        <v>141</v>
      </c>
      <c r="B37">
        <v>8.9</v>
      </c>
    </row>
    <row r="38" spans="1:2" ht="12.75">
      <c r="A38" s="8" t="s">
        <v>149</v>
      </c>
      <c r="B38">
        <v>5</v>
      </c>
    </row>
    <row r="39" spans="1:2" ht="12.75">
      <c r="A39" s="4"/>
      <c r="B39"/>
    </row>
    <row r="40" spans="1:3" ht="12.75">
      <c r="A40" s="4" t="s">
        <v>145</v>
      </c>
      <c r="B40"/>
      <c r="C40" s="2">
        <f>SUM(B41:B43)</f>
        <v>13.8</v>
      </c>
    </row>
    <row r="41" spans="1:2" ht="12.75">
      <c r="A41" s="8" t="s">
        <v>146</v>
      </c>
      <c r="B41">
        <v>6.6</v>
      </c>
    </row>
    <row r="42" spans="1:2" ht="12.75">
      <c r="A42" s="8" t="s">
        <v>147</v>
      </c>
      <c r="B42">
        <v>5.4</v>
      </c>
    </row>
    <row r="43" spans="1:2" ht="12.75">
      <c r="A43" s="8" t="s">
        <v>148</v>
      </c>
      <c r="B43">
        <v>1.8</v>
      </c>
    </row>
    <row r="44" spans="1:2" ht="12.75">
      <c r="A44" s="4"/>
      <c r="B44"/>
    </row>
    <row r="45" spans="1:2" ht="12.75">
      <c r="A45" s="4" t="s">
        <v>126</v>
      </c>
      <c r="B45"/>
    </row>
    <row r="46" spans="1:3" ht="12.75">
      <c r="A46" s="8" t="s">
        <v>127</v>
      </c>
      <c r="B46">
        <v>108.5</v>
      </c>
      <c r="C46" s="2">
        <v>108.5</v>
      </c>
    </row>
    <row r="47" spans="1:3" ht="12.75">
      <c r="A47" s="8" t="s">
        <v>128</v>
      </c>
      <c r="B47">
        <v>22</v>
      </c>
      <c r="C47" s="2">
        <v>22</v>
      </c>
    </row>
    <row r="48" spans="1:2" ht="12.75">
      <c r="A48" s="4"/>
      <c r="B48"/>
    </row>
    <row r="49" spans="1:3" ht="12.75">
      <c r="A49" s="4" t="s">
        <v>158</v>
      </c>
      <c r="B49">
        <v>60</v>
      </c>
      <c r="C49" s="2">
        <v>60</v>
      </c>
    </row>
    <row r="50" spans="1:2" ht="12.75">
      <c r="A50" s="4"/>
      <c r="B50"/>
    </row>
    <row r="51" spans="1:3" ht="12.75">
      <c r="A51" s="4" t="s">
        <v>155</v>
      </c>
      <c r="B51"/>
      <c r="C51" s="2">
        <f>SUM(B52:B53)</f>
        <v>35.2</v>
      </c>
    </row>
    <row r="52" spans="1:2" ht="12.75">
      <c r="A52" s="8" t="s">
        <v>58</v>
      </c>
      <c r="B52">
        <v>35</v>
      </c>
    </row>
    <row r="53" spans="1:2" ht="12.75">
      <c r="A53" s="8" t="s">
        <v>156</v>
      </c>
      <c r="B53">
        <v>0.2</v>
      </c>
    </row>
    <row r="54" spans="1:2" ht="12.75">
      <c r="A54" s="4"/>
      <c r="B54"/>
    </row>
    <row r="55" spans="1:3" ht="12.75">
      <c r="A55" s="4" t="s">
        <v>157</v>
      </c>
      <c r="B55">
        <v>8.3</v>
      </c>
      <c r="C55" s="2">
        <v>8.3</v>
      </c>
    </row>
    <row r="56" spans="1:2" ht="12.75">
      <c r="A56" s="4"/>
      <c r="B56"/>
    </row>
    <row r="57" spans="1:3" ht="12.75">
      <c r="A57" s="4" t="s">
        <v>144</v>
      </c>
      <c r="B57">
        <v>8</v>
      </c>
      <c r="C57" s="2">
        <v>8</v>
      </c>
    </row>
    <row r="58" spans="1:2" ht="12.75">
      <c r="A58" s="4"/>
      <c r="B58"/>
    </row>
    <row r="59" spans="1:3" ht="12.75">
      <c r="A59" s="4" t="s">
        <v>76</v>
      </c>
      <c r="B59">
        <v>6.9</v>
      </c>
      <c r="C59" s="2">
        <v>6.9</v>
      </c>
    </row>
    <row r="60" spans="1:2" ht="12.75">
      <c r="A60" s="4"/>
      <c r="B60"/>
    </row>
    <row r="61" spans="1:3" ht="12.75">
      <c r="A61" s="4" t="s">
        <v>81</v>
      </c>
      <c r="B61">
        <v>5.2</v>
      </c>
      <c r="C61" s="2">
        <v>5.2</v>
      </c>
    </row>
    <row r="62" spans="1:2" ht="12.75">
      <c r="A62" s="4"/>
      <c r="B62"/>
    </row>
    <row r="63" spans="1:3" ht="12.75">
      <c r="A63" s="4" t="s">
        <v>152</v>
      </c>
      <c r="B63"/>
      <c r="C63" s="2">
        <f>SUM(B64:B65)</f>
        <v>3</v>
      </c>
    </row>
    <row r="64" spans="1:2" ht="12.75">
      <c r="A64" s="8" t="s">
        <v>153</v>
      </c>
      <c r="B64">
        <v>2.2</v>
      </c>
    </row>
    <row r="65" spans="1:2" ht="12.75">
      <c r="A65" s="8" t="s">
        <v>154</v>
      </c>
      <c r="B65">
        <v>0.8</v>
      </c>
    </row>
    <row r="66" spans="1:2" ht="12.75">
      <c r="A66" s="4"/>
      <c r="B66"/>
    </row>
    <row r="68" spans="1:2" ht="12.75">
      <c r="A68" s="4"/>
      <c r="B68"/>
    </row>
    <row r="70" spans="1:2" ht="12.75">
      <c r="A70" s="4"/>
      <c r="B70"/>
    </row>
    <row r="72" spans="1:2" ht="12.75">
      <c r="A72" s="4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G63"/>
  <sheetViews>
    <sheetView tabSelected="1" workbookViewId="0" topLeftCell="A24">
      <selection activeCell="A51" sqref="A51"/>
    </sheetView>
  </sheetViews>
  <sheetFormatPr defaultColWidth="9.140625" defaultRowHeight="12.75"/>
  <cols>
    <col min="1" max="3" width="12.57421875" style="1" bestFit="1" customWidth="1"/>
    <col min="4" max="4" width="41.7109375" style="2" customWidth="1"/>
    <col min="5" max="5" width="10.8515625" style="0" customWidth="1"/>
    <col min="7" max="7" width="11.140625" style="0" customWidth="1"/>
    <col min="8" max="8" width="12.7109375" style="0" bestFit="1" customWidth="1"/>
    <col min="9" max="10" width="14.00390625" style="0" bestFit="1" customWidth="1"/>
    <col min="11" max="11" width="10.8515625" style="0" bestFit="1" customWidth="1"/>
    <col min="13" max="13" width="9.8515625" style="0" bestFit="1" customWidth="1"/>
    <col min="14" max="14" width="5.8515625" style="0" customWidth="1"/>
    <col min="15" max="15" width="5.7109375" style="0" customWidth="1"/>
    <col min="16" max="16" width="5.57421875" style="0" customWidth="1"/>
    <col min="17" max="17" width="6.140625" style="0" customWidth="1"/>
    <col min="18" max="18" width="5.7109375" style="0" customWidth="1"/>
    <col min="19" max="19" width="15.140625" style="0" customWidth="1"/>
    <col min="20" max="20" width="9.421875" style="0" customWidth="1"/>
    <col min="25" max="25" width="10.57421875" style="0" customWidth="1"/>
    <col min="26" max="26" width="12.421875" style="0" customWidth="1"/>
    <col min="27" max="27" width="14.28125" style="0" customWidth="1"/>
    <col min="28" max="28" width="9.57421875" style="0" customWidth="1"/>
    <col min="29" max="29" width="13.140625" style="0" customWidth="1"/>
    <col min="30" max="30" width="12.57421875" style="0" customWidth="1"/>
    <col min="31" max="31" width="13.00390625" style="0" customWidth="1"/>
    <col min="32" max="32" width="9.57421875" style="0" customWidth="1"/>
    <col min="33" max="33" width="12.140625" style="0" customWidth="1"/>
    <col min="34" max="34" width="10.8515625" style="0" customWidth="1"/>
    <col min="35" max="35" width="12.7109375" style="0" customWidth="1"/>
    <col min="36" max="36" width="9.57421875" style="0" customWidth="1"/>
    <col min="37" max="37" width="12.8515625" style="0" customWidth="1"/>
    <col min="38" max="38" width="10.8515625" style="0" customWidth="1"/>
    <col min="39" max="39" width="13.57421875" style="0" customWidth="1"/>
    <col min="41" max="41" width="12.8515625" style="0" customWidth="1"/>
    <col min="43" max="43" width="11.7109375" style="0" customWidth="1"/>
    <col min="44" max="44" width="25.00390625" style="0" customWidth="1"/>
    <col min="55" max="55" width="0.13671875" style="0" customWidth="1"/>
  </cols>
  <sheetData>
    <row r="2" spans="5:44" ht="12.75">
      <c r="E2" s="21" t="s">
        <v>0</v>
      </c>
      <c r="F2" s="21"/>
      <c r="G2" s="21"/>
      <c r="H2" s="21" t="s">
        <v>1</v>
      </c>
      <c r="I2" s="21"/>
      <c r="J2" s="21"/>
      <c r="K2" s="21" t="s">
        <v>2</v>
      </c>
      <c r="L2" s="21"/>
      <c r="M2" s="21"/>
      <c r="N2" s="21" t="s">
        <v>3</v>
      </c>
      <c r="O2" s="21"/>
      <c r="P2" s="21"/>
      <c r="Q2" s="21" t="s">
        <v>4</v>
      </c>
      <c r="R2" s="21"/>
      <c r="S2" s="4" t="s">
        <v>5</v>
      </c>
      <c r="T2" s="21" t="s">
        <v>6</v>
      </c>
      <c r="U2" s="21"/>
      <c r="V2" s="21"/>
      <c r="W2" s="21" t="s">
        <v>7</v>
      </c>
      <c r="X2" s="21"/>
      <c r="Y2" s="21"/>
      <c r="Z2" s="21" t="s">
        <v>8</v>
      </c>
      <c r="AA2" s="21"/>
      <c r="AB2" s="21">
        <v>1997</v>
      </c>
      <c r="AC2" s="21"/>
      <c r="AD2" s="21">
        <v>1996</v>
      </c>
      <c r="AE2" s="21"/>
      <c r="AF2" s="21">
        <v>1995</v>
      </c>
      <c r="AG2" s="21"/>
      <c r="AH2" s="21">
        <v>1994</v>
      </c>
      <c r="AI2" s="21"/>
      <c r="AJ2" s="21">
        <v>1993</v>
      </c>
      <c r="AK2" s="21"/>
      <c r="AL2" s="21">
        <v>1992</v>
      </c>
      <c r="AM2" s="21"/>
      <c r="AN2" s="21">
        <v>1991</v>
      </c>
      <c r="AO2" s="21"/>
      <c r="AP2" s="21">
        <v>1990</v>
      </c>
      <c r="AQ2" s="21"/>
      <c r="AR2" s="4" t="s">
        <v>9</v>
      </c>
    </row>
    <row r="3" spans="1:44" ht="12.75">
      <c r="A3" s="5" t="s">
        <v>10</v>
      </c>
      <c r="B3" s="5" t="s">
        <v>11</v>
      </c>
      <c r="C3" s="5" t="s">
        <v>12</v>
      </c>
      <c r="E3" s="4" t="s">
        <v>13</v>
      </c>
      <c r="F3" s="3" t="s">
        <v>14</v>
      </c>
      <c r="G3" s="3" t="s">
        <v>15</v>
      </c>
      <c r="H3" s="3">
        <v>1998</v>
      </c>
      <c r="I3" s="3">
        <v>1999</v>
      </c>
      <c r="J3" s="3">
        <v>2000</v>
      </c>
      <c r="K3" s="3">
        <v>1998</v>
      </c>
      <c r="L3" s="3">
        <v>1999</v>
      </c>
      <c r="M3" s="3">
        <v>2000</v>
      </c>
      <c r="N3" s="3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T3" s="4" t="s">
        <v>21</v>
      </c>
      <c r="U3" s="4" t="s">
        <v>22</v>
      </c>
      <c r="V3" s="4" t="s">
        <v>23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26</v>
      </c>
      <c r="AE3" s="4" t="s">
        <v>27</v>
      </c>
      <c r="AF3" s="4" t="s">
        <v>26</v>
      </c>
      <c r="AG3" s="4" t="s">
        <v>27</v>
      </c>
      <c r="AH3" s="4" t="s">
        <v>26</v>
      </c>
      <c r="AI3" s="4" t="s">
        <v>27</v>
      </c>
      <c r="AJ3" s="4" t="s">
        <v>26</v>
      </c>
      <c r="AK3" s="4" t="s">
        <v>27</v>
      </c>
      <c r="AL3" s="4" t="s">
        <v>26</v>
      </c>
      <c r="AM3" s="4" t="s">
        <v>27</v>
      </c>
      <c r="AN3" s="4" t="s">
        <v>26</v>
      </c>
      <c r="AO3" s="4" t="s">
        <v>27</v>
      </c>
      <c r="AP3" s="4" t="s">
        <v>26</v>
      </c>
      <c r="AQ3" s="4" t="s">
        <v>27</v>
      </c>
      <c r="AR3" s="4"/>
    </row>
    <row r="4" ht="12.75">
      <c r="D4" s="4" t="s">
        <v>28</v>
      </c>
    </row>
    <row r="5" spans="1:13" ht="12.75">
      <c r="A5" s="6"/>
      <c r="B5" s="6"/>
      <c r="C5" s="6"/>
      <c r="D5" s="4"/>
      <c r="H5" s="7"/>
      <c r="I5" s="7"/>
      <c r="J5" s="7"/>
      <c r="K5" s="7"/>
      <c r="L5" s="7"/>
      <c r="M5" s="7"/>
    </row>
    <row r="6" spans="1:44" ht="12.75">
      <c r="A6" s="6">
        <v>210891000</v>
      </c>
      <c r="B6" s="6">
        <v>270733000</v>
      </c>
      <c r="C6" s="6">
        <v>326391000</v>
      </c>
      <c r="D6" s="4" t="s">
        <v>29</v>
      </c>
      <c r="E6" s="8" t="s">
        <v>30</v>
      </c>
      <c r="F6" s="8" t="s">
        <v>31</v>
      </c>
      <c r="G6" s="8" t="s">
        <v>32</v>
      </c>
      <c r="H6" s="6">
        <v>210891000</v>
      </c>
      <c r="I6" s="6">
        <v>270733000</v>
      </c>
      <c r="J6" s="6">
        <v>326391000</v>
      </c>
      <c r="K6" s="6">
        <v>11642000</v>
      </c>
      <c r="L6" s="6">
        <v>14455000</v>
      </c>
      <c r="M6" s="6">
        <v>17481000</v>
      </c>
      <c r="N6" s="8">
        <v>100</v>
      </c>
      <c r="O6" s="8"/>
      <c r="P6" s="8"/>
      <c r="Q6" s="8">
        <v>19</v>
      </c>
      <c r="R6" s="8">
        <v>81</v>
      </c>
      <c r="S6" s="8">
        <v>100</v>
      </c>
      <c r="T6" s="8">
        <v>2</v>
      </c>
      <c r="U6" s="8">
        <v>1</v>
      </c>
      <c r="V6" s="8">
        <v>1</v>
      </c>
      <c r="W6" s="8">
        <v>15</v>
      </c>
      <c r="X6" s="8">
        <v>5</v>
      </c>
      <c r="Y6" s="8">
        <v>7</v>
      </c>
      <c r="Z6" s="8">
        <v>0</v>
      </c>
      <c r="AA6" s="8">
        <v>0</v>
      </c>
      <c r="AB6" s="6">
        <v>181778000</v>
      </c>
      <c r="AC6" s="6">
        <v>10099000</v>
      </c>
      <c r="AD6" s="6">
        <v>161592000</v>
      </c>
      <c r="AE6" s="6">
        <v>8114000</v>
      </c>
      <c r="AF6" s="6">
        <v>145382000</v>
      </c>
      <c r="AG6" s="6">
        <v>7310000</v>
      </c>
      <c r="AH6" s="6">
        <v>120121000</v>
      </c>
      <c r="AI6" s="6">
        <v>6501000</v>
      </c>
      <c r="AJ6" s="6">
        <v>100517000</v>
      </c>
      <c r="AK6" s="6">
        <v>5849000</v>
      </c>
      <c r="AL6" s="6">
        <v>99836000</v>
      </c>
      <c r="AM6" s="6">
        <v>5100000</v>
      </c>
      <c r="AN6" s="6">
        <v>83681000</v>
      </c>
      <c r="AO6" s="6">
        <v>4092000</v>
      </c>
      <c r="AP6" s="6">
        <v>56725000</v>
      </c>
      <c r="AQ6" s="6">
        <v>1550000</v>
      </c>
      <c r="AR6" s="8"/>
    </row>
    <row r="7" spans="1:114" ht="12.75">
      <c r="A7" s="6">
        <f>H7/0.652</f>
        <v>61273006.134969324</v>
      </c>
      <c r="B7" s="6">
        <f>I7/0.655</f>
        <v>103511450.38167939</v>
      </c>
      <c r="C7" s="6">
        <f>J7/0.654</f>
        <v>121406727.82874617</v>
      </c>
      <c r="D7" s="4" t="s">
        <v>33</v>
      </c>
      <c r="E7" s="8" t="s">
        <v>34</v>
      </c>
      <c r="F7" s="8" t="s">
        <v>35</v>
      </c>
      <c r="G7" s="8" t="s">
        <v>36</v>
      </c>
      <c r="H7" s="6">
        <v>39950000</v>
      </c>
      <c r="I7" s="6">
        <v>67800000</v>
      </c>
      <c r="J7" s="6">
        <v>79400000</v>
      </c>
      <c r="K7" s="6">
        <v>1000000</v>
      </c>
      <c r="L7" s="6">
        <v>1000000</v>
      </c>
      <c r="M7" s="6">
        <v>1000000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</row>
    <row r="8" spans="1:48" ht="12.75">
      <c r="A8" s="6">
        <f>H8/154</f>
        <v>38899681.81818182</v>
      </c>
      <c r="B8" s="6">
        <f>I8/159</f>
        <v>77867924.52830188</v>
      </c>
      <c r="C8" s="6">
        <f>J8/153</f>
        <v>115431372.5490196</v>
      </c>
      <c r="D8" s="4" t="s">
        <v>37</v>
      </c>
      <c r="E8" s="8" t="s">
        <v>30</v>
      </c>
      <c r="F8" s="8" t="s">
        <v>38</v>
      </c>
      <c r="G8" s="8" t="s">
        <v>39</v>
      </c>
      <c r="H8" s="6">
        <v>5990551000</v>
      </c>
      <c r="I8" s="6">
        <v>12381000000</v>
      </c>
      <c r="J8" s="6">
        <v>17661000000</v>
      </c>
      <c r="K8" s="6"/>
      <c r="L8" s="6"/>
      <c r="M8" s="6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6"/>
      <c r="AC8" s="6"/>
      <c r="AD8" s="6"/>
      <c r="AE8" s="6"/>
      <c r="AF8" s="6"/>
      <c r="AG8" s="6"/>
      <c r="AH8" s="6"/>
      <c r="AI8" s="6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ht="12.75">
      <c r="A9" s="6">
        <f>H9/0.652</f>
        <v>64417177.91411043</v>
      </c>
      <c r="B9" s="6">
        <f>I9/0.655</f>
        <v>97709923.66412213</v>
      </c>
      <c r="C9" s="6">
        <f>J9/0.654</f>
        <v>110091743.11926605</v>
      </c>
      <c r="D9" s="4" t="s">
        <v>40</v>
      </c>
      <c r="E9" s="8" t="s">
        <v>34</v>
      </c>
      <c r="F9" s="8" t="s">
        <v>38</v>
      </c>
      <c r="G9" s="8" t="s">
        <v>41</v>
      </c>
      <c r="H9" s="6">
        <v>42000000</v>
      </c>
      <c r="I9" s="6">
        <v>64000000</v>
      </c>
      <c r="J9" s="6">
        <v>72000000</v>
      </c>
      <c r="K9" s="6"/>
      <c r="L9" s="6"/>
      <c r="M9" s="6"/>
      <c r="N9" s="8">
        <v>100</v>
      </c>
      <c r="O9" s="8"/>
      <c r="P9" s="8"/>
      <c r="Q9" s="8"/>
      <c r="R9" s="8">
        <v>100</v>
      </c>
      <c r="S9" s="8">
        <v>20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137" ht="12.75">
      <c r="A10" s="6">
        <f>H10/0.937</f>
        <v>23479188.900747065</v>
      </c>
      <c r="B10" s="6">
        <f>100000000/0.956</f>
        <v>104602510.46025105</v>
      </c>
      <c r="C10" s="6">
        <f>100000000/0.922</f>
        <v>108459869.84815618</v>
      </c>
      <c r="D10" s="4" t="s">
        <v>42</v>
      </c>
      <c r="E10" s="8"/>
      <c r="F10" s="8"/>
      <c r="G10" s="8" t="s">
        <v>43</v>
      </c>
      <c r="H10" s="9">
        <v>22000000</v>
      </c>
      <c r="I10" s="9">
        <v>100000000</v>
      </c>
      <c r="J10" s="9">
        <v>100000000</v>
      </c>
      <c r="K10" s="6"/>
      <c r="L10" s="6"/>
      <c r="M10" s="6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</row>
    <row r="11" spans="1:137" ht="12.75">
      <c r="A11" s="6">
        <v>68000000</v>
      </c>
      <c r="B11" s="6">
        <v>75000000</v>
      </c>
      <c r="C11" s="6">
        <v>92000000</v>
      </c>
      <c r="D11" s="4" t="s">
        <v>44</v>
      </c>
      <c r="E11" s="8" t="s">
        <v>34</v>
      </c>
      <c r="F11" s="8" t="s">
        <v>38</v>
      </c>
      <c r="G11" s="8" t="s">
        <v>32</v>
      </c>
      <c r="H11" s="6">
        <v>68000000</v>
      </c>
      <c r="I11" s="6">
        <v>75000000</v>
      </c>
      <c r="J11" s="6">
        <v>92000000</v>
      </c>
      <c r="K11" s="6">
        <v>500000</v>
      </c>
      <c r="L11" s="6">
        <v>1000000</v>
      </c>
      <c r="M11" s="6">
        <v>1000000</v>
      </c>
      <c r="N11" s="8">
        <v>100</v>
      </c>
      <c r="O11" s="8"/>
      <c r="P11" s="8"/>
      <c r="Q11" s="8"/>
      <c r="R11" s="8">
        <v>100</v>
      </c>
      <c r="S11" s="8"/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6">
        <v>21000000</v>
      </c>
      <c r="AC11" s="6"/>
      <c r="AD11" s="6">
        <v>20000000</v>
      </c>
      <c r="AE11" s="6"/>
      <c r="AF11" s="6">
        <v>16000000</v>
      </c>
      <c r="AG11" s="6"/>
      <c r="AH11" s="6">
        <v>14000000</v>
      </c>
      <c r="AI11" s="6"/>
      <c r="AJ11" s="6">
        <v>13000000</v>
      </c>
      <c r="AK11" s="6"/>
      <c r="AL11" s="6">
        <v>10000000</v>
      </c>
      <c r="AM11" s="6"/>
      <c r="AN11" s="6">
        <v>8000000</v>
      </c>
      <c r="AO11" s="6"/>
      <c r="AP11" s="6">
        <v>4000000</v>
      </c>
      <c r="AQ11" s="6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</row>
    <row r="12" spans="1:137" ht="12.75">
      <c r="A12" s="6">
        <v>85500000</v>
      </c>
      <c r="B12" s="6">
        <v>89800000</v>
      </c>
      <c r="C12" s="6">
        <v>88900000</v>
      </c>
      <c r="D12" s="4" t="s">
        <v>45</v>
      </c>
      <c r="E12" s="8" t="s">
        <v>30</v>
      </c>
      <c r="F12" s="8" t="s">
        <v>38</v>
      </c>
      <c r="G12" s="8" t="s">
        <v>32</v>
      </c>
      <c r="H12" s="6">
        <v>85500000</v>
      </c>
      <c r="I12" s="6">
        <v>89800000</v>
      </c>
      <c r="J12" s="6">
        <v>88900000</v>
      </c>
      <c r="K12" s="6">
        <f>H12*0.03</f>
        <v>2565000</v>
      </c>
      <c r="L12" s="6">
        <f>I12*0.03</f>
        <v>2694000</v>
      </c>
      <c r="M12" s="6">
        <f>J12*0.03</f>
        <v>2667000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</row>
    <row r="13" spans="1:137" ht="12.75">
      <c r="A13" s="6">
        <f>H13/154</f>
        <v>31025467.532467533</v>
      </c>
      <c r="B13" s="6">
        <f>I13/159</f>
        <v>31427672.955974843</v>
      </c>
      <c r="C13" s="6">
        <f>J13/153</f>
        <v>84398692.81045751</v>
      </c>
      <c r="D13" s="4" t="s">
        <v>46</v>
      </c>
      <c r="E13" s="8" t="s">
        <v>30</v>
      </c>
      <c r="F13" s="8" t="s">
        <v>38</v>
      </c>
      <c r="G13" s="8" t="s">
        <v>39</v>
      </c>
      <c r="H13" s="6">
        <v>4777922000</v>
      </c>
      <c r="I13" s="6">
        <v>4997000000</v>
      </c>
      <c r="J13" s="6">
        <v>12913000000</v>
      </c>
      <c r="K13" s="6"/>
      <c r="L13" s="6"/>
      <c r="M13" s="6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6"/>
      <c r="AC13" s="6"/>
      <c r="AD13" s="6"/>
      <c r="AE13" s="6"/>
      <c r="AF13" s="6"/>
      <c r="AG13" s="6"/>
      <c r="AH13" s="6"/>
      <c r="AI13" s="6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</row>
    <row r="14" spans="1:137" ht="12.75">
      <c r="A14" s="6"/>
      <c r="B14" s="6"/>
      <c r="C14" s="6">
        <v>80000000</v>
      </c>
      <c r="D14" s="4" t="s">
        <v>47</v>
      </c>
      <c r="E14" s="8" t="s">
        <v>48</v>
      </c>
      <c r="F14" s="8"/>
      <c r="G14" s="8"/>
      <c r="H14" s="6"/>
      <c r="I14" s="6"/>
      <c r="J14" s="6"/>
      <c r="M14" s="6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</row>
    <row r="15" spans="1:137" ht="12.75">
      <c r="A15" s="6">
        <f>H15/154</f>
        <v>17354305.194805194</v>
      </c>
      <c r="B15" s="6">
        <f>I15/159</f>
        <v>17081761.006289307</v>
      </c>
      <c r="C15" s="6">
        <f>J15/153</f>
        <v>72908496.73202614</v>
      </c>
      <c r="D15" s="4" t="s">
        <v>53</v>
      </c>
      <c r="E15" s="8" t="s">
        <v>30</v>
      </c>
      <c r="F15" s="8" t="s">
        <v>38</v>
      </c>
      <c r="G15" s="8" t="s">
        <v>39</v>
      </c>
      <c r="H15" s="6">
        <v>2672563000</v>
      </c>
      <c r="I15" s="6">
        <v>2716000000</v>
      </c>
      <c r="J15" s="6">
        <v>11155000000</v>
      </c>
      <c r="K15" s="6"/>
      <c r="L15" s="6"/>
      <c r="M15" s="6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6"/>
      <c r="AC15" s="6"/>
      <c r="AD15" s="6"/>
      <c r="AE15" s="6"/>
      <c r="AF15" s="6"/>
      <c r="AG15" s="6"/>
      <c r="AH15" s="6"/>
      <c r="AI15" s="6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</row>
    <row r="16" spans="1:137" ht="12.75">
      <c r="A16" s="6">
        <f>H16/154</f>
        <v>16474025.974025974</v>
      </c>
      <c r="B16" s="6">
        <f>I16/159</f>
        <v>16094339.62264151</v>
      </c>
      <c r="C16" s="6">
        <f>J16/153</f>
        <v>65359477.12418301</v>
      </c>
      <c r="D16" s="4" t="s">
        <v>54</v>
      </c>
      <c r="E16" s="8" t="s">
        <v>30</v>
      </c>
      <c r="F16" s="8" t="s">
        <v>38</v>
      </c>
      <c r="G16" s="8" t="s">
        <v>39</v>
      </c>
      <c r="H16" s="6">
        <v>2537000000</v>
      </c>
      <c r="I16" s="6">
        <v>2559000000</v>
      </c>
      <c r="J16" s="6">
        <v>10000000000</v>
      </c>
      <c r="K16" s="6"/>
      <c r="L16" s="6"/>
      <c r="M16" s="6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6"/>
      <c r="AC16" s="6"/>
      <c r="AD16" s="6"/>
      <c r="AE16" s="6"/>
      <c r="AF16" s="6"/>
      <c r="AG16" s="6"/>
      <c r="AH16" s="6"/>
      <c r="AI16" s="6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</row>
    <row r="17" spans="1:137" ht="12.75">
      <c r="A17" s="6"/>
      <c r="B17" s="6">
        <v>40000000</v>
      </c>
      <c r="C17" s="6">
        <v>60000000</v>
      </c>
      <c r="D17" s="4" t="s">
        <v>55</v>
      </c>
      <c r="E17" s="8" t="s">
        <v>48</v>
      </c>
      <c r="F17" s="8"/>
      <c r="G17" s="8"/>
      <c r="H17" s="6"/>
      <c r="I17" s="6"/>
      <c r="J17" s="6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</row>
    <row r="18" spans="1:137" ht="12.75">
      <c r="A18" s="6"/>
      <c r="B18" s="6">
        <f>I18</f>
        <v>50000000</v>
      </c>
      <c r="C18" s="6">
        <f>J18</f>
        <v>50000000</v>
      </c>
      <c r="D18" s="4" t="s">
        <v>56</v>
      </c>
      <c r="E18" s="8"/>
      <c r="F18" s="8"/>
      <c r="G18" s="8" t="s">
        <v>57</v>
      </c>
      <c r="H18" s="6"/>
      <c r="I18" s="6">
        <v>50000000</v>
      </c>
      <c r="J18" s="6">
        <v>50000000</v>
      </c>
      <c r="K18" s="7"/>
      <c r="L18" s="7"/>
      <c r="M18" s="7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</row>
    <row r="19" spans="1:137" ht="12.75">
      <c r="A19" s="6">
        <v>5000000</v>
      </c>
      <c r="B19" s="6">
        <v>11000000</v>
      </c>
      <c r="C19" s="6">
        <v>35000000</v>
      </c>
      <c r="D19" s="4" t="s">
        <v>58</v>
      </c>
      <c r="E19" s="8"/>
      <c r="F19" s="8"/>
      <c r="G19" s="8" t="s">
        <v>32</v>
      </c>
      <c r="H19" s="6">
        <v>5000000</v>
      </c>
      <c r="I19" s="6">
        <v>11000000</v>
      </c>
      <c r="J19" s="6">
        <v>35000000</v>
      </c>
      <c r="K19" s="6">
        <v>0</v>
      </c>
      <c r="L19" s="6">
        <v>0</v>
      </c>
      <c r="M19" s="6">
        <v>0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6">
        <v>8000000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 t="s">
        <v>59</v>
      </c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</row>
    <row r="20" spans="1:137" ht="12.75">
      <c r="A20" s="6"/>
      <c r="B20" s="6"/>
      <c r="C20" s="6">
        <v>26000000</v>
      </c>
      <c r="D20" s="4" t="s">
        <v>60</v>
      </c>
      <c r="E20" s="8" t="s">
        <v>48</v>
      </c>
      <c r="F20" s="8"/>
      <c r="G20" s="8"/>
      <c r="H20" s="6"/>
      <c r="I20" s="6"/>
      <c r="J20" s="6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</row>
    <row r="21" spans="1:137" ht="12.75">
      <c r="A21" s="6">
        <f>H21/2.01</f>
        <v>19900497.512437813</v>
      </c>
      <c r="B21" s="6">
        <f>I21/1.98</f>
        <v>20202020.2020202</v>
      </c>
      <c r="C21" s="6">
        <f>J21/1.94</f>
        <v>23195876.288659796</v>
      </c>
      <c r="D21" s="4" t="s">
        <v>49</v>
      </c>
      <c r="E21" s="8"/>
      <c r="F21" s="8" t="s">
        <v>38</v>
      </c>
      <c r="G21" s="8" t="s">
        <v>50</v>
      </c>
      <c r="H21" s="6">
        <v>40000000</v>
      </c>
      <c r="I21" s="6">
        <v>40000000</v>
      </c>
      <c r="J21" s="6">
        <v>45000000</v>
      </c>
      <c r="K21" s="6">
        <v>600000</v>
      </c>
      <c r="L21" s="6">
        <v>600000</v>
      </c>
      <c r="M21" s="6">
        <v>1200000</v>
      </c>
      <c r="N21" s="8">
        <v>96</v>
      </c>
      <c r="O21" s="8"/>
      <c r="P21" s="8">
        <v>4</v>
      </c>
      <c r="Q21" s="8">
        <v>1</v>
      </c>
      <c r="R21" s="8">
        <v>99</v>
      </c>
      <c r="S21" s="8">
        <v>100</v>
      </c>
      <c r="T21" t="s">
        <v>51</v>
      </c>
      <c r="U21" t="s">
        <v>51</v>
      </c>
      <c r="V21" t="s">
        <v>51</v>
      </c>
      <c r="W21" s="8" t="s">
        <v>52</v>
      </c>
      <c r="X21" s="8">
        <v>7</v>
      </c>
      <c r="Y21" s="8">
        <v>7</v>
      </c>
      <c r="Z21" s="8">
        <v>0</v>
      </c>
      <c r="AA21" s="8">
        <v>0</v>
      </c>
      <c r="AB21" s="6">
        <v>40000000</v>
      </c>
      <c r="AC21" s="6">
        <v>600000</v>
      </c>
      <c r="AD21" s="6">
        <v>40000000</v>
      </c>
      <c r="AE21" s="6">
        <v>600000</v>
      </c>
      <c r="AF21" s="6">
        <v>10000000</v>
      </c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</row>
    <row r="22" spans="1:137" ht="12.75">
      <c r="A22" s="6"/>
      <c r="B22" s="6">
        <v>28000000</v>
      </c>
      <c r="C22" s="6">
        <v>22000000</v>
      </c>
      <c r="D22" s="4" t="s">
        <v>61</v>
      </c>
      <c r="E22" s="8"/>
      <c r="F22" s="8"/>
      <c r="G22" s="8" t="s">
        <v>32</v>
      </c>
      <c r="H22" s="6"/>
      <c r="I22" s="6">
        <v>28000000</v>
      </c>
      <c r="J22" s="6">
        <v>22000000</v>
      </c>
      <c r="K22" s="6"/>
      <c r="L22" s="6">
        <v>0</v>
      </c>
      <c r="M22" s="6">
        <v>0</v>
      </c>
      <c r="N22" s="8">
        <v>0</v>
      </c>
      <c r="O22" s="8">
        <v>0</v>
      </c>
      <c r="P22" s="8">
        <v>100</v>
      </c>
      <c r="Q22" s="8">
        <v>0</v>
      </c>
      <c r="R22" s="8">
        <v>100</v>
      </c>
      <c r="S22" s="8">
        <v>100</v>
      </c>
      <c r="T22" s="8"/>
      <c r="U22" s="8"/>
      <c r="V22" s="8"/>
      <c r="W22" s="8"/>
      <c r="X22" s="8"/>
      <c r="Y22" s="8"/>
      <c r="Z22" s="8">
        <v>1</v>
      </c>
      <c r="AA22" s="8"/>
      <c r="AB22" s="6">
        <v>20000000</v>
      </c>
      <c r="AC22" s="8"/>
      <c r="AD22" s="6">
        <v>20000000</v>
      </c>
      <c r="AE22" s="8"/>
      <c r="AF22" s="6">
        <v>20000000</v>
      </c>
      <c r="AG22" s="8"/>
      <c r="AH22" s="6">
        <v>29800000</v>
      </c>
      <c r="AI22" s="8"/>
      <c r="AJ22" s="6">
        <v>9800000</v>
      </c>
      <c r="AK22" s="8"/>
      <c r="AL22" s="6">
        <v>19100000</v>
      </c>
      <c r="AM22" s="8"/>
      <c r="AN22" s="6">
        <v>19100000</v>
      </c>
      <c r="AO22" s="8"/>
      <c r="AP22" s="6">
        <v>19100000</v>
      </c>
      <c r="AQ22" s="8"/>
      <c r="AR22" s="8" t="s">
        <v>62</v>
      </c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</row>
    <row r="23" spans="1:137" ht="12.75">
      <c r="A23" s="6">
        <v>7000000</v>
      </c>
      <c r="B23" s="6">
        <v>11300000</v>
      </c>
      <c r="C23" s="6">
        <v>21800000</v>
      </c>
      <c r="D23" s="4" t="s">
        <v>63</v>
      </c>
      <c r="E23" s="8" t="s">
        <v>30</v>
      </c>
      <c r="F23" s="8" t="s">
        <v>38</v>
      </c>
      <c r="G23" s="8" t="s">
        <v>32</v>
      </c>
      <c r="H23" s="6">
        <v>7000000</v>
      </c>
      <c r="I23" s="6">
        <v>11300000</v>
      </c>
      <c r="J23" s="6">
        <v>21800000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</row>
    <row r="24" spans="1:137" ht="12.75">
      <c r="A24" s="6">
        <v>20000000</v>
      </c>
      <c r="B24" s="6">
        <v>20000000</v>
      </c>
      <c r="C24" s="6">
        <v>20000000</v>
      </c>
      <c r="D24" s="4" t="s">
        <v>64</v>
      </c>
      <c r="E24" s="8"/>
      <c r="F24" s="8"/>
      <c r="G24" s="8" t="s">
        <v>32</v>
      </c>
      <c r="H24" s="6"/>
      <c r="I24" s="6"/>
      <c r="J24" s="6">
        <v>20000000</v>
      </c>
      <c r="K24" s="6"/>
      <c r="L24" s="6"/>
      <c r="M24" s="6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</row>
    <row r="25" spans="1:137" ht="12.75">
      <c r="A25" s="6">
        <v>14800000</v>
      </c>
      <c r="B25" s="6">
        <v>14500000</v>
      </c>
      <c r="C25" s="6">
        <v>14400000</v>
      </c>
      <c r="D25" s="4" t="s">
        <v>65</v>
      </c>
      <c r="E25" s="8" t="s">
        <v>66</v>
      </c>
      <c r="F25" s="8" t="s">
        <v>38</v>
      </c>
      <c r="G25" s="8" t="s">
        <v>32</v>
      </c>
      <c r="H25" s="6">
        <v>14800000</v>
      </c>
      <c r="I25" s="6">
        <v>14500000</v>
      </c>
      <c r="J25" s="6">
        <v>14400000</v>
      </c>
      <c r="K25" s="6">
        <v>400000</v>
      </c>
      <c r="L25" s="6">
        <v>300000</v>
      </c>
      <c r="M25" s="6">
        <v>500000</v>
      </c>
      <c r="N25" s="8">
        <v>100</v>
      </c>
      <c r="O25" s="8"/>
      <c r="P25" s="8"/>
      <c r="Q25" s="8">
        <v>100</v>
      </c>
      <c r="R25" s="8"/>
      <c r="S25" s="8">
        <v>100</v>
      </c>
      <c r="T25" s="8">
        <v>0</v>
      </c>
      <c r="U25" s="8">
        <v>0</v>
      </c>
      <c r="V25" s="8">
        <v>0</v>
      </c>
      <c r="W25" s="8">
        <v>7</v>
      </c>
      <c r="X25" s="8">
        <v>7</v>
      </c>
      <c r="Y25" s="8">
        <v>7</v>
      </c>
      <c r="Z25" s="8">
        <v>0</v>
      </c>
      <c r="AA25" s="8">
        <v>0</v>
      </c>
      <c r="AB25" s="6">
        <v>13700000</v>
      </c>
      <c r="AC25" s="6">
        <v>300000</v>
      </c>
      <c r="AD25" s="6">
        <v>13200000</v>
      </c>
      <c r="AE25" s="6">
        <v>500000</v>
      </c>
      <c r="AF25" s="6">
        <v>12300000</v>
      </c>
      <c r="AG25" s="6">
        <v>500000</v>
      </c>
      <c r="AH25" s="6">
        <v>10100000</v>
      </c>
      <c r="AI25" s="6">
        <v>200000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 t="s">
        <v>67</v>
      </c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</row>
    <row r="26" spans="1:137" ht="12.75">
      <c r="A26" s="6"/>
      <c r="B26" s="6"/>
      <c r="C26" s="6">
        <f>J26/0.654</f>
        <v>12894495.412844036</v>
      </c>
      <c r="D26" s="4" t="s">
        <v>68</v>
      </c>
      <c r="E26" s="8"/>
      <c r="F26" s="8"/>
      <c r="G26" s="8" t="s">
        <v>41</v>
      </c>
      <c r="H26" s="6"/>
      <c r="I26" s="6"/>
      <c r="J26" s="6">
        <v>8433000</v>
      </c>
      <c r="K26" s="6"/>
      <c r="L26" s="6"/>
      <c r="M26" s="6"/>
      <c r="N26" s="8"/>
      <c r="O26" s="8">
        <v>100</v>
      </c>
      <c r="P26" s="8"/>
      <c r="Q26" s="8"/>
      <c r="R26" s="8"/>
      <c r="S26" s="8">
        <v>15</v>
      </c>
      <c r="T26" s="8">
        <v>4</v>
      </c>
      <c r="U26" s="8">
        <v>4</v>
      </c>
      <c r="V26" s="8"/>
      <c r="W26" s="8">
        <v>9</v>
      </c>
      <c r="X26" s="8">
        <v>9</v>
      </c>
      <c r="Y26" s="8"/>
      <c r="Z26" s="8">
        <v>0</v>
      </c>
      <c r="AA26" s="8">
        <v>0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</row>
    <row r="27" spans="1:137" ht="12.75">
      <c r="A27" s="6"/>
      <c r="B27" s="6"/>
      <c r="C27" s="6">
        <v>9200000</v>
      </c>
      <c r="D27" s="4" t="s">
        <v>69</v>
      </c>
      <c r="E27" s="8" t="s">
        <v>48</v>
      </c>
      <c r="F27" s="8"/>
      <c r="G27" s="8"/>
      <c r="H27" s="6"/>
      <c r="I27" s="6"/>
      <c r="J27" s="6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</row>
    <row r="28" spans="1:137" ht="12.75">
      <c r="A28" s="6">
        <f>H28/6.7</f>
        <v>4522388.059701492</v>
      </c>
      <c r="B28" s="6">
        <f>I28/6.63</f>
        <v>7435897.435897436</v>
      </c>
      <c r="C28" s="6">
        <f>J28/6.55</f>
        <v>8961832.061068702</v>
      </c>
      <c r="D28" s="4" t="s">
        <v>70</v>
      </c>
      <c r="E28" s="8"/>
      <c r="F28" s="8"/>
      <c r="G28" s="8" t="s">
        <v>71</v>
      </c>
      <c r="H28" s="6">
        <v>30300000</v>
      </c>
      <c r="I28" s="6">
        <v>49300000</v>
      </c>
      <c r="J28" s="6">
        <v>58700000</v>
      </c>
      <c r="K28" s="6">
        <v>0</v>
      </c>
      <c r="L28" s="6">
        <v>0</v>
      </c>
      <c r="M28" s="6">
        <v>0</v>
      </c>
      <c r="N28" s="8">
        <v>100</v>
      </c>
      <c r="O28" s="8">
        <v>0</v>
      </c>
      <c r="P28" s="8">
        <v>0</v>
      </c>
      <c r="Q28" s="8">
        <v>100</v>
      </c>
      <c r="R28" s="8">
        <v>0</v>
      </c>
      <c r="S28" s="8">
        <v>100</v>
      </c>
      <c r="T28" s="8"/>
      <c r="U28" s="8"/>
      <c r="V28" s="8"/>
      <c r="W28" s="8"/>
      <c r="X28" s="8"/>
      <c r="Y28" s="8"/>
      <c r="Z28" s="8">
        <v>1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</row>
    <row r="29" spans="1:137" ht="12.75">
      <c r="A29" s="6">
        <v>2783100</v>
      </c>
      <c r="B29" s="6">
        <v>5382471</v>
      </c>
      <c r="C29" s="6">
        <v>8286800</v>
      </c>
      <c r="D29" s="4" t="s">
        <v>72</v>
      </c>
      <c r="E29" s="8" t="s">
        <v>34</v>
      </c>
      <c r="F29" s="8" t="s">
        <v>38</v>
      </c>
      <c r="G29" s="8" t="s">
        <v>57</v>
      </c>
      <c r="H29" s="6">
        <v>2783100</v>
      </c>
      <c r="I29" s="6">
        <v>5382471</v>
      </c>
      <c r="J29" s="6">
        <v>8286800</v>
      </c>
      <c r="K29" s="6"/>
      <c r="L29" s="6"/>
      <c r="M29" s="6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6">
        <v>5311600</v>
      </c>
      <c r="AC29" s="8"/>
      <c r="AD29" s="6">
        <v>1977100</v>
      </c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</row>
    <row r="30" spans="1:137" ht="12.75">
      <c r="A30" s="6">
        <v>3500000</v>
      </c>
      <c r="B30" s="6">
        <v>5800000</v>
      </c>
      <c r="C30" s="6">
        <v>8000000</v>
      </c>
      <c r="D30" s="4" t="s">
        <v>73</v>
      </c>
      <c r="E30" s="8" t="s">
        <v>34</v>
      </c>
      <c r="F30" s="8" t="s">
        <v>38</v>
      </c>
      <c r="G30" s="8" t="s">
        <v>32</v>
      </c>
      <c r="H30" s="6">
        <v>3500000</v>
      </c>
      <c r="I30" s="6">
        <v>5800000</v>
      </c>
      <c r="J30" s="6">
        <v>8000000</v>
      </c>
      <c r="K30" s="6"/>
      <c r="L30" s="6"/>
      <c r="M30" s="6"/>
      <c r="N30" s="8">
        <v>100</v>
      </c>
      <c r="O30" s="8"/>
      <c r="P30" s="8"/>
      <c r="Q30" s="8">
        <v>99</v>
      </c>
      <c r="R30" s="8">
        <v>1</v>
      </c>
      <c r="S30" s="8">
        <v>30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6">
        <v>3000000</v>
      </c>
      <c r="AC30" s="6"/>
      <c r="AD30" s="6">
        <v>2500000</v>
      </c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</row>
    <row r="31" spans="1:137" ht="12.75">
      <c r="A31" s="6"/>
      <c r="B31" s="6"/>
      <c r="C31" s="6">
        <v>8000000</v>
      </c>
      <c r="D31" s="4" t="s">
        <v>111</v>
      </c>
      <c r="E31" s="8" t="s">
        <v>30</v>
      </c>
      <c r="F31" s="8" t="s">
        <v>38</v>
      </c>
      <c r="G31" s="8" t="s">
        <v>110</v>
      </c>
      <c r="I31" s="6"/>
      <c r="J31" s="6">
        <v>10000000000</v>
      </c>
      <c r="K31" s="6"/>
      <c r="L31" s="6"/>
      <c r="M31" s="6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</row>
    <row r="32" spans="1:137" ht="12.75">
      <c r="A32" s="6">
        <v>3700000</v>
      </c>
      <c r="B32" s="6">
        <f>(C32+A32)/2</f>
        <v>5350000</v>
      </c>
      <c r="C32" s="6">
        <v>7000000</v>
      </c>
      <c r="D32" s="4" t="s">
        <v>74</v>
      </c>
      <c r="E32" s="8" t="s">
        <v>75</v>
      </c>
      <c r="F32" s="8" t="s">
        <v>35</v>
      </c>
      <c r="G32" s="8"/>
      <c r="H32" s="6">
        <v>3700000</v>
      </c>
      <c r="I32" s="6"/>
      <c r="J32" s="6">
        <v>7000000</v>
      </c>
      <c r="K32" s="6"/>
      <c r="L32" s="6"/>
      <c r="M32" s="6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</row>
    <row r="33" spans="1:137" ht="12.75">
      <c r="A33" s="6"/>
      <c r="B33" s="6"/>
      <c r="C33" s="6">
        <v>6941665</v>
      </c>
      <c r="D33" s="4" t="s">
        <v>76</v>
      </c>
      <c r="E33" s="8" t="s">
        <v>30</v>
      </c>
      <c r="F33" s="8" t="s">
        <v>38</v>
      </c>
      <c r="G33" s="8" t="s">
        <v>57</v>
      </c>
      <c r="H33" s="6"/>
      <c r="I33" s="6"/>
      <c r="J33" s="6">
        <v>6941665</v>
      </c>
      <c r="M33" s="6">
        <v>28225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</row>
    <row r="34" spans="1:137" ht="12.75">
      <c r="A34" s="6">
        <f aca="true" t="shared" si="0" ref="A34:C37">H34/8.28</f>
        <v>3623188.4057971016</v>
      </c>
      <c r="B34" s="6">
        <f t="shared" si="0"/>
        <v>8454106.280193238</v>
      </c>
      <c r="C34" s="6">
        <f t="shared" si="0"/>
        <v>6642512.077294687</v>
      </c>
      <c r="D34" s="4" t="s">
        <v>77</v>
      </c>
      <c r="E34" s="8" t="s">
        <v>78</v>
      </c>
      <c r="F34" s="8" t="s">
        <v>35</v>
      </c>
      <c r="G34" s="8" t="s">
        <v>79</v>
      </c>
      <c r="H34" s="6">
        <v>30000000</v>
      </c>
      <c r="I34" s="6">
        <v>70000000</v>
      </c>
      <c r="J34" s="6">
        <v>55000000</v>
      </c>
      <c r="K34" s="6"/>
      <c r="L34" s="6"/>
      <c r="M34" s="6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</row>
    <row r="35" spans="1:137" ht="12.75">
      <c r="A35" s="6"/>
      <c r="B35" s="6">
        <f>I35/1.17</f>
        <v>3331794.0170940175</v>
      </c>
      <c r="C35" s="6">
        <f>J35/1.18</f>
        <v>5925620.3389830515</v>
      </c>
      <c r="D35" s="4" t="s">
        <v>180</v>
      </c>
      <c r="E35" s="8" t="s">
        <v>34</v>
      </c>
      <c r="F35" s="8" t="s">
        <v>38</v>
      </c>
      <c r="G35" s="8" t="s">
        <v>170</v>
      </c>
      <c r="I35" s="6">
        <v>3898199</v>
      </c>
      <c r="J35" s="6">
        <v>6992232</v>
      </c>
      <c r="K35" s="6"/>
      <c r="L35" s="6"/>
      <c r="M35" s="6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</row>
    <row r="36" spans="1:137" ht="12.75">
      <c r="A36" s="6">
        <f t="shared" si="0"/>
        <v>2415458.937198068</v>
      </c>
      <c r="B36" s="6">
        <f t="shared" si="0"/>
        <v>3623188.4057971016</v>
      </c>
      <c r="C36" s="6">
        <f t="shared" si="0"/>
        <v>5434782.608695652</v>
      </c>
      <c r="D36" s="4" t="s">
        <v>80</v>
      </c>
      <c r="E36" s="8" t="s">
        <v>34</v>
      </c>
      <c r="F36" s="8" t="s">
        <v>35</v>
      </c>
      <c r="G36" s="8" t="s">
        <v>79</v>
      </c>
      <c r="H36" s="6">
        <v>20000000</v>
      </c>
      <c r="I36" s="6">
        <v>30000000</v>
      </c>
      <c r="J36" s="6">
        <v>45000000</v>
      </c>
      <c r="K36" s="6"/>
      <c r="L36" s="6"/>
      <c r="M36" s="6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6">
        <v>3000000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</row>
    <row r="37" spans="1:137" ht="12.75">
      <c r="A37" s="6">
        <v>5000000</v>
      </c>
      <c r="B37" s="6">
        <v>5100000</v>
      </c>
      <c r="C37" s="6">
        <v>5200000</v>
      </c>
      <c r="D37" s="4" t="s">
        <v>81</v>
      </c>
      <c r="E37" s="8" t="s">
        <v>34</v>
      </c>
      <c r="F37" s="8" t="s">
        <v>35</v>
      </c>
      <c r="G37" s="8" t="s">
        <v>82</v>
      </c>
      <c r="H37" s="6">
        <v>5000000</v>
      </c>
      <c r="I37" s="6">
        <v>5100000</v>
      </c>
      <c r="J37" s="6">
        <v>5200000</v>
      </c>
      <c r="K37" s="6">
        <v>375000</v>
      </c>
      <c r="L37" s="6">
        <v>375000</v>
      </c>
      <c r="M37" s="6">
        <v>375000</v>
      </c>
      <c r="N37" s="8">
        <v>100</v>
      </c>
      <c r="O37" s="8"/>
      <c r="P37" s="8"/>
      <c r="Q37" s="8">
        <v>100</v>
      </c>
      <c r="R37" s="8"/>
      <c r="S37" s="8"/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5</v>
      </c>
      <c r="AA37" s="8">
        <v>2</v>
      </c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</row>
    <row r="38" spans="1:137" ht="12.75">
      <c r="A38" s="6"/>
      <c r="B38" s="6">
        <v>5189000</v>
      </c>
      <c r="C38" s="6">
        <v>5008000</v>
      </c>
      <c r="D38" s="4" t="s">
        <v>83</v>
      </c>
      <c r="E38" s="8" t="s">
        <v>34</v>
      </c>
      <c r="F38" s="8" t="s">
        <v>38</v>
      </c>
      <c r="G38" s="8" t="s">
        <v>82</v>
      </c>
      <c r="H38" s="6"/>
      <c r="I38" s="6">
        <v>5189000</v>
      </c>
      <c r="J38" s="6">
        <v>5008000</v>
      </c>
      <c r="K38" s="6"/>
      <c r="L38" s="6"/>
      <c r="M38" s="6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</row>
    <row r="39" spans="1:137" ht="12.75">
      <c r="A39" s="6">
        <f>H39/0.934</f>
        <v>6316916.488222698</v>
      </c>
      <c r="B39" s="6">
        <f>I39/0.928</f>
        <v>5603448.275862069</v>
      </c>
      <c r="C39" s="6">
        <f>J39/0.922</f>
        <v>4956616.052060737</v>
      </c>
      <c r="D39" s="4" t="s">
        <v>84</v>
      </c>
      <c r="E39" s="8" t="s">
        <v>66</v>
      </c>
      <c r="F39" s="8" t="s">
        <v>85</v>
      </c>
      <c r="G39" s="8" t="s">
        <v>43</v>
      </c>
      <c r="H39" s="6">
        <v>5900000</v>
      </c>
      <c r="I39" s="6">
        <v>5200000</v>
      </c>
      <c r="J39" s="6">
        <v>4570000</v>
      </c>
      <c r="K39" s="6"/>
      <c r="L39" s="6"/>
      <c r="M39" s="6"/>
      <c r="N39" s="8">
        <v>57.5</v>
      </c>
      <c r="O39" s="8">
        <v>33.5</v>
      </c>
      <c r="P39" s="8">
        <v>9</v>
      </c>
      <c r="Q39" s="8">
        <v>100</v>
      </c>
      <c r="R39" s="8">
        <v>0</v>
      </c>
      <c r="S39" s="8">
        <v>100</v>
      </c>
      <c r="T39" s="8">
        <v>2</v>
      </c>
      <c r="U39" s="8"/>
      <c r="V39" s="8"/>
      <c r="W39" s="8">
        <v>1</v>
      </c>
      <c r="X39" s="8"/>
      <c r="Y39" s="8"/>
      <c r="Z39" s="8">
        <v>2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</row>
    <row r="40" spans="1:137" ht="12.75">
      <c r="A40" s="6"/>
      <c r="B40" s="6"/>
      <c r="C40" s="6">
        <v>4000000</v>
      </c>
      <c r="D40" s="4" t="s">
        <v>86</v>
      </c>
      <c r="E40" s="8" t="s">
        <v>34</v>
      </c>
      <c r="F40" s="8" t="s">
        <v>38</v>
      </c>
      <c r="G40" s="8" t="s">
        <v>57</v>
      </c>
      <c r="H40" s="6"/>
      <c r="I40" s="6"/>
      <c r="J40" s="6">
        <v>4000000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</row>
    <row r="41" spans="1:137" ht="12.75">
      <c r="A41" s="10">
        <v>3000000</v>
      </c>
      <c r="B41" s="10">
        <v>3200000</v>
      </c>
      <c r="C41" s="10">
        <v>3500000</v>
      </c>
      <c r="D41" s="4" t="s">
        <v>87</v>
      </c>
      <c r="E41" s="8" t="s">
        <v>34</v>
      </c>
      <c r="F41" s="8" t="s">
        <v>35</v>
      </c>
      <c r="G41" s="8" t="s">
        <v>82</v>
      </c>
      <c r="H41" s="10">
        <v>3000000</v>
      </c>
      <c r="I41" s="10">
        <v>3200000</v>
      </c>
      <c r="J41" s="10">
        <v>3500000</v>
      </c>
      <c r="K41" s="6">
        <v>0</v>
      </c>
      <c r="L41" s="6">
        <v>0</v>
      </c>
      <c r="M41" s="10">
        <v>200000</v>
      </c>
      <c r="N41" s="8">
        <v>100</v>
      </c>
      <c r="O41" s="8">
        <v>0</v>
      </c>
      <c r="P41" s="8">
        <v>0</v>
      </c>
      <c r="Q41" s="8">
        <v>0</v>
      </c>
      <c r="R41" s="8">
        <v>100</v>
      </c>
      <c r="S41" s="8">
        <v>0.2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500</v>
      </c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</row>
    <row r="42" spans="1:137" ht="12.75">
      <c r="A42" s="6">
        <f>H42/1.31</f>
        <v>610687.0229007633</v>
      </c>
      <c r="B42" s="6">
        <f>I42/1.3</f>
        <v>1615384.6153846153</v>
      </c>
      <c r="C42" s="6">
        <f>J42/1.31</f>
        <v>2213740.4580152673</v>
      </c>
      <c r="D42" s="4" t="s">
        <v>88</v>
      </c>
      <c r="E42" s="8"/>
      <c r="F42" s="8"/>
      <c r="G42" s="8" t="s">
        <v>89</v>
      </c>
      <c r="H42" s="6">
        <v>800000</v>
      </c>
      <c r="I42" s="6">
        <v>2100000</v>
      </c>
      <c r="J42" s="6">
        <v>2900000</v>
      </c>
      <c r="K42" s="6" t="s">
        <v>90</v>
      </c>
      <c r="L42" s="6" t="s">
        <v>90</v>
      </c>
      <c r="M42" s="6"/>
      <c r="N42" s="8"/>
      <c r="O42" s="8">
        <v>100</v>
      </c>
      <c r="P42" s="8"/>
      <c r="Q42" s="8">
        <v>100</v>
      </c>
      <c r="R42" s="8"/>
      <c r="S42" s="8"/>
      <c r="T42" s="8"/>
      <c r="U42" s="8"/>
      <c r="V42" s="8"/>
      <c r="W42" s="8"/>
      <c r="X42" s="8"/>
      <c r="Y42" s="8"/>
      <c r="Z42" s="8"/>
      <c r="AA42" s="8">
        <v>1</v>
      </c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</row>
    <row r="43" spans="1:137" ht="12.75">
      <c r="A43" s="6">
        <f>H43/8.28</f>
        <v>1207729.468599034</v>
      </c>
      <c r="B43" s="6">
        <f>I43/8.28</f>
        <v>2415458.937198068</v>
      </c>
      <c r="C43" s="6">
        <f>J43/8.28</f>
        <v>1811594.2028985508</v>
      </c>
      <c r="D43" s="4" t="s">
        <v>91</v>
      </c>
      <c r="E43" s="8" t="s">
        <v>78</v>
      </c>
      <c r="F43" s="8" t="s">
        <v>35</v>
      </c>
      <c r="G43" s="8" t="s">
        <v>79</v>
      </c>
      <c r="H43" s="6">
        <v>10000000</v>
      </c>
      <c r="I43" s="6">
        <v>20000000</v>
      </c>
      <c r="J43" s="6">
        <v>15000000</v>
      </c>
      <c r="K43" s="6"/>
      <c r="L43" s="6"/>
      <c r="M43" s="6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</row>
    <row r="44" spans="1:137" ht="12.75">
      <c r="A44" s="6">
        <f>H44/1.31</f>
        <v>319331.29007633583</v>
      </c>
      <c r="B44" s="6">
        <f>I44/1.3</f>
        <v>165993.20769230768</v>
      </c>
      <c r="C44" s="6">
        <f>J44/1.31</f>
        <v>862595.4198473282</v>
      </c>
      <c r="D44" s="4" t="s">
        <v>92</v>
      </c>
      <c r="E44" s="8"/>
      <c r="F44" s="8"/>
      <c r="G44" s="8" t="s">
        <v>89</v>
      </c>
      <c r="H44" s="11">
        <v>418323.99</v>
      </c>
      <c r="I44" s="11">
        <v>215791.17</v>
      </c>
      <c r="J44" s="11">
        <v>1130000</v>
      </c>
      <c r="K44" s="6"/>
      <c r="L44" s="6"/>
      <c r="M44" s="6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12">
        <v>28643.72</v>
      </c>
      <c r="AC44" s="8"/>
      <c r="AD44" s="12"/>
      <c r="AE44" s="8"/>
      <c r="AF44" s="12">
        <v>263890.44</v>
      </c>
      <c r="AG44" s="8" t="s">
        <v>93</v>
      </c>
      <c r="AH44" s="12">
        <v>309999.24</v>
      </c>
      <c r="AI44" s="8"/>
      <c r="AJ44" s="12">
        <v>148214.16</v>
      </c>
      <c r="AK44" s="8"/>
      <c r="AL44" s="8"/>
      <c r="AM44" s="8"/>
      <c r="AN44" s="12">
        <v>234480.73</v>
      </c>
      <c r="AO44" s="8"/>
      <c r="AP44" s="12">
        <v>158145.64</v>
      </c>
      <c r="AQ44" s="8"/>
      <c r="AR44" s="8" t="s">
        <v>94</v>
      </c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</row>
    <row r="45" spans="1:44" ht="12.75">
      <c r="A45" s="6"/>
      <c r="B45" s="6"/>
      <c r="C45" s="6">
        <f>J45/1.18</f>
        <v>635593.2203389831</v>
      </c>
      <c r="D45" s="4" t="s">
        <v>114</v>
      </c>
      <c r="E45" s="8" t="s">
        <v>34</v>
      </c>
      <c r="F45" s="8" t="s">
        <v>38</v>
      </c>
      <c r="G45" s="8" t="s">
        <v>113</v>
      </c>
      <c r="H45" s="6"/>
      <c r="I45" s="6"/>
      <c r="J45" s="6">
        <v>750000</v>
      </c>
      <c r="K45" s="6"/>
      <c r="L45" s="6"/>
      <c r="M45" s="6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8"/>
    </row>
    <row r="46" spans="1:137" ht="12.75">
      <c r="A46" s="6"/>
      <c r="B46" s="6"/>
      <c r="C46" s="6">
        <v>200000</v>
      </c>
      <c r="D46" s="4" t="s">
        <v>95</v>
      </c>
      <c r="E46" s="8"/>
      <c r="F46" s="8"/>
      <c r="G46" s="8" t="s">
        <v>82</v>
      </c>
      <c r="H46" s="6"/>
      <c r="I46" s="6"/>
      <c r="J46" s="6" t="s">
        <v>96</v>
      </c>
      <c r="K46" s="6"/>
      <c r="L46" s="6"/>
      <c r="M46" s="6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 t="s">
        <v>97</v>
      </c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</row>
    <row r="47" spans="1:137" ht="12.75">
      <c r="A47" s="6"/>
      <c r="B47" s="6"/>
      <c r="C47" s="6"/>
      <c r="D47" s="4" t="s">
        <v>98</v>
      </c>
      <c r="E47" s="8"/>
      <c r="F47" s="8"/>
      <c r="G47" s="8" t="s">
        <v>99</v>
      </c>
      <c r="H47" s="6"/>
      <c r="I47" s="6"/>
      <c r="J47" s="6"/>
      <c r="K47" s="6"/>
      <c r="L47" s="6"/>
      <c r="M47" s="6"/>
      <c r="N47" s="8">
        <v>50</v>
      </c>
      <c r="O47" s="8">
        <v>50</v>
      </c>
      <c r="P47" s="8"/>
      <c r="Q47" s="8">
        <v>100</v>
      </c>
      <c r="R47" s="8">
        <v>0</v>
      </c>
      <c r="S47" s="8">
        <v>5</v>
      </c>
      <c r="T47" s="8"/>
      <c r="U47" s="8"/>
      <c r="V47" s="8"/>
      <c r="W47" s="8"/>
      <c r="X47" s="8"/>
      <c r="Y47" s="8"/>
      <c r="Z47" s="8"/>
      <c r="AA47" s="8"/>
      <c r="AB47" s="8">
        <v>500</v>
      </c>
      <c r="AC47" s="8"/>
      <c r="AD47" s="8">
        <v>500</v>
      </c>
      <c r="AE47" s="8"/>
      <c r="AF47" s="8">
        <v>500</v>
      </c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 t="s">
        <v>100</v>
      </c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</row>
    <row r="48" spans="1:137" ht="12.75">
      <c r="A48" s="13">
        <f>SUM(A6:A47)</f>
        <v>721013150.6542407</v>
      </c>
      <c r="B48" s="13">
        <f>SUM(B6:B47)</f>
        <v>1141497344.9963994</v>
      </c>
      <c r="C48" s="13">
        <f>SUM(C6:C47)</f>
        <v>1653419103.1525612</v>
      </c>
      <c r="D48" s="4"/>
      <c r="E48" s="8"/>
      <c r="F48" s="8"/>
      <c r="G48" s="8"/>
      <c r="H48" s="6"/>
      <c r="I48" s="6"/>
      <c r="J48" s="6"/>
      <c r="K48" s="6"/>
      <c r="L48" s="6"/>
      <c r="M48" s="6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</row>
    <row r="49" spans="1:137" ht="12.75">
      <c r="A49" s="6"/>
      <c r="B49" s="6"/>
      <c r="C49" s="6"/>
      <c r="D49" s="4"/>
      <c r="E49" s="8"/>
      <c r="F49" s="8"/>
      <c r="G49" s="8"/>
      <c r="H49" s="6"/>
      <c r="I49" s="6"/>
      <c r="J49" s="6"/>
      <c r="K49" s="6"/>
      <c r="L49" s="6"/>
      <c r="M49" s="6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</row>
    <row r="50" spans="1:137" ht="12.75">
      <c r="A50" s="6" t="s">
        <v>182</v>
      </c>
      <c r="B50" s="6"/>
      <c r="C50" s="6"/>
      <c r="D50" s="4"/>
      <c r="E50" s="8"/>
      <c r="F50" s="8"/>
      <c r="G50" s="8"/>
      <c r="H50" s="6"/>
      <c r="I50" s="6"/>
      <c r="J50" s="6"/>
      <c r="K50" s="6"/>
      <c r="L50" s="6"/>
      <c r="M50" s="6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</row>
    <row r="51" spans="1:137" ht="12.75">
      <c r="A51" s="1" t="s">
        <v>101</v>
      </c>
      <c r="B51" s="6"/>
      <c r="C51" s="6"/>
      <c r="D51" s="4"/>
      <c r="E51" s="8"/>
      <c r="F51" s="8"/>
      <c r="G51" s="8"/>
      <c r="H51" s="6"/>
      <c r="I51" s="6"/>
      <c r="J51" s="6"/>
      <c r="K51" s="6"/>
      <c r="L51" s="6"/>
      <c r="M51" s="6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</row>
    <row r="52" spans="1:137" ht="12.75">
      <c r="A52" s="1" t="s">
        <v>102</v>
      </c>
      <c r="B52" s="6"/>
      <c r="C52" s="6"/>
      <c r="D52" s="4"/>
      <c r="E52" s="8"/>
      <c r="F52" s="8"/>
      <c r="G52" s="8"/>
      <c r="H52" s="6"/>
      <c r="I52" s="6"/>
      <c r="J52" s="6"/>
      <c r="K52" s="6"/>
      <c r="L52" s="6"/>
      <c r="M52" s="6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</row>
    <row r="53" spans="1:137" ht="12.75">
      <c r="A53" s="6" t="s">
        <v>103</v>
      </c>
      <c r="B53" s="6"/>
      <c r="C53" s="6"/>
      <c r="D53" s="4"/>
      <c r="E53" s="8"/>
      <c r="F53" s="8"/>
      <c r="G53" s="8"/>
      <c r="H53" s="6"/>
      <c r="I53" s="6"/>
      <c r="J53" s="6"/>
      <c r="K53" s="6"/>
      <c r="L53" s="6"/>
      <c r="M53" s="6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</row>
    <row r="54" spans="1:137" ht="12.75">
      <c r="A54" s="6" t="s">
        <v>109</v>
      </c>
      <c r="B54" s="6"/>
      <c r="C54" s="6"/>
      <c r="D54" s="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</row>
    <row r="55" spans="1:137" ht="12.75">
      <c r="A55" s="6" t="s">
        <v>104</v>
      </c>
      <c r="B55" s="6"/>
      <c r="C55" s="6"/>
      <c r="D55" s="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</row>
    <row r="56" spans="1:137" ht="12.75">
      <c r="A56" s="6" t="s">
        <v>105</v>
      </c>
      <c r="B56" s="6"/>
      <c r="C56" s="6"/>
      <c r="D56" s="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</row>
    <row r="57" spans="1:137" ht="12.75">
      <c r="A57" s="1" t="s">
        <v>106</v>
      </c>
      <c r="D57" s="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</row>
    <row r="58" spans="1:137" ht="12.75">
      <c r="A58" s="1" t="s">
        <v>112</v>
      </c>
      <c r="D58" s="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</row>
    <row r="59" spans="1:137" ht="12.75">
      <c r="A59" s="1" t="s">
        <v>181</v>
      </c>
      <c r="D59" s="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</row>
    <row r="60" spans="1:137" ht="371.25">
      <c r="A60" s="14" t="s">
        <v>108</v>
      </c>
      <c r="D60" s="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</row>
    <row r="61" spans="1:137" ht="12.75">
      <c r="A61" s="1" t="s">
        <v>107</v>
      </c>
      <c r="D61" s="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</row>
    <row r="62" spans="4:137" ht="12.75">
      <c r="D62" s="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</row>
    <row r="63" spans="1:4" ht="12.75">
      <c r="A63"/>
      <c r="B63"/>
      <c r="C63"/>
      <c r="D63"/>
    </row>
  </sheetData>
  <mergeCells count="16">
    <mergeCell ref="AJ2:AK2"/>
    <mergeCell ref="AL2:AM2"/>
    <mergeCell ref="AN2:AO2"/>
    <mergeCell ref="AP2:AQ2"/>
    <mergeCell ref="AB2:AC2"/>
    <mergeCell ref="AD2:AE2"/>
    <mergeCell ref="AF2:AG2"/>
    <mergeCell ref="AH2:AI2"/>
    <mergeCell ref="Q2:R2"/>
    <mergeCell ref="T2:V2"/>
    <mergeCell ref="W2:Y2"/>
    <mergeCell ref="Z2:AA2"/>
    <mergeCell ref="E2:G2"/>
    <mergeCell ref="H2:J2"/>
    <mergeCell ref="K2:M2"/>
    <mergeCell ref="N2:P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Academy of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Cook-Deegan</dc:creator>
  <cp:keywords/>
  <dc:description/>
  <cp:lastModifiedBy>Robert Cook-Deegan</cp:lastModifiedBy>
  <dcterms:created xsi:type="dcterms:W3CDTF">2001-05-18T04:15:25Z</dcterms:created>
  <dcterms:modified xsi:type="dcterms:W3CDTF">2002-07-28T02:51:25Z</dcterms:modified>
  <cp:category/>
  <cp:version/>
  <cp:contentType/>
  <cp:contentStatus/>
</cp:coreProperties>
</file>