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definedName hidden="1" localSheetId="0" name="_xlnm._FilterDatabase">'Group Heuristic Evaluation'!$A$10:$I$63</definedName>
    <definedName hidden="1" localSheetId="0" name="Z_FF047794_2786_47A4_86B9_1E422EE7686B_.wvu.FilterData">'Group Heuristic Evaluation'!$A$10:$I$63</definedName>
    <definedName hidden="1" localSheetId="0" name="Z_8E96D602_C3D4_4448_A07B_DC84DD68F9F0_.wvu.FilterData">'Group Heuristic Evaluation'!$A$10:$I$63</definedName>
  </definedNames>
  <calcPr/>
  <customWorkbookViews>
    <customWorkbookView activeSheetId="0" maximized="1" windowHeight="0" windowWidth="0" guid="{8E96D602-C3D4-4448-A07B-DC84DD68F9F0}" name="Group by Task "/>
    <customWorkbookView activeSheetId="0" maximized="1" windowHeight="0" windowWidth="0" guid="{FF047794-2786-47A4-86B9-1E422EE7686B}" name="Group by Task"/>
  </customWorkbookViews>
</workbook>
</file>

<file path=xl/sharedStrings.xml><?xml version="1.0" encoding="utf-8"?>
<sst xmlns="http://schemas.openxmlformats.org/spreadsheetml/2006/main" count="373" uniqueCount="233">
  <si>
    <t xml:space="preserve">Prototype Description: </t>
  </si>
  <si>
    <t>Traverse is an art discovery mobile app that empowers casual creatives and art enthusiasts to explore interconnected artworks and add personal reflections, bringing back a sense of wonder and emotional engagement that are missing from conventional, consumption-focused platforms.</t>
  </si>
  <si>
    <t xml:space="preserve">IMPORTANT: TO MAKE SURE FORMULAS WORK PROPERLY
1) DO NOT ADD/DELETE ANY COLUMNS
2) ONLY ADD ROWS TO THE BOTTOM OF THE TABLE (NOT THE TOP)
</t>
  </si>
  <si>
    <t xml:space="preserve">Your TA will remove your names before the document is given to the project team. Under the 'Found by' column, use these letters to identify yourselves </t>
  </si>
  <si>
    <t>When finished, please double check your numbers under 'evaluation statistics' &amp; let your TA know if there's a bug with the formula</t>
  </si>
  <si>
    <t>Simple Task</t>
  </si>
  <si>
    <t>Users want to discover and explore new artworks. They do this by navigating through a graph of artworks on the app.</t>
  </si>
  <si>
    <t>Evaluator A:</t>
  </si>
  <si>
    <t>Moderate Task</t>
  </si>
  <si>
    <t>Users reflect about an art piece by adding reflections to their journal.</t>
  </si>
  <si>
    <t>Evaluator B:</t>
  </si>
  <si>
    <t>Complex Task</t>
  </si>
  <si>
    <t>Users upload their own art piece to the platform and tag related artworks that inspired it.</t>
  </si>
  <si>
    <t>Evaluator C:</t>
  </si>
  <si>
    <t>Evaluator D:</t>
  </si>
  <si>
    <t>*attach images in this column if helpful</t>
  </si>
  <si>
    <t>Problem #</t>
  </si>
  <si>
    <t xml:space="preserve">Heuristic </t>
  </si>
  <si>
    <t>Task</t>
  </si>
  <si>
    <t>Severity</t>
  </si>
  <si>
    <t>Description</t>
  </si>
  <si>
    <t>Images</t>
  </si>
  <si>
    <t>Rationale</t>
  </si>
  <si>
    <t>Fix</t>
  </si>
  <si>
    <t>Found by</t>
  </si>
  <si>
    <t>H12: Value Alignment &amp; Inclusion</t>
  </si>
  <si>
    <t>1. Simple Task</t>
  </si>
  <si>
    <t xml:space="preserve">The slides mentioned Curiosity as the driving value but doesn't guide the user's initial curiousity and provides the whole Art Work Graph in the Simple Task. it doesn't provide recommendation of the Art Graph to view at based on previous engagement of the user. </t>
  </si>
  <si>
    <t xml:space="preserve">Users may be really overwhelmed and confused initially by scrolling through random Art Graph areas, and not find something interesting </t>
  </si>
  <si>
    <t xml:space="preserve">Have an initial onboarding survey to assess curiousity and provide an Art Graph region to explore </t>
  </si>
  <si>
    <t>D</t>
  </si>
  <si>
    <t>H8: Aesthetic &amp; Minimalist Design</t>
  </si>
  <si>
    <t>When users click into the art piece, there is no option to enlarge/zoom into the artwork and hide other contents (e.g., "See Reflections", name of artwork), in order to truly appreciate the art piece. The artwork only occupies less than half of the screen. In the screen where users view reflections, the "small graph icon" obstructs the art piece.</t>
  </si>
  <si>
    <t xml:space="preserve">The current design prevents users from immersively viewing and focusing on the artwork, as there is always other information shown on the screen, which distracts users. The art piece is way too small (i.e., less than half of the screen), as the screen needs to accomodate other details, and this might affect the user's experience of truly appreciating the artwork. </t>
  </si>
  <si>
    <t xml:space="preserve">Allow users to zoom into the artwork when they click the art piece. All other details should be hidden. </t>
  </si>
  <si>
    <t>A</t>
  </si>
  <si>
    <t>When users open Traverse, the app opens to a fully zoomed-out graph that shows all artworks at once. As this is viewed on mobile, the layout looks cluttered and overwhelming. Users cannot really see the details of any art piece.</t>
  </si>
  <si>
    <t>The goal of the simple task is to let users explore new artworks. However, in the zoomed-out view of the graph, each node (i.e., art piece) is too small and is not visible. This may make it difficult for users to pick a starting point. As too many nodes are presented in this graph, the only thing that is visible to users is the graph structure, which is quite irrelevant to the art viewing experience. When I post a picture (or view a picture), I keep wanting to click the picture and view it closer. Especially for people with poor vision or people that want a closer look, there's no way to expand it.</t>
  </si>
  <si>
    <t>A, D, C</t>
  </si>
  <si>
    <t>H10: Help &amp; Documentation</t>
  </si>
  <si>
    <t>When users load the app, it gives the instruction "drag and zoom to explore", but does not elaborate on how users should perform dragging and zooming on their device (e.g., do they pinch to zoom or tap to zoom?), nor how users can view a particular artwork through these actions.</t>
  </si>
  <si>
    <t>The existing instruction of "drag and zoom to explore" assumes that users already know how to drag and zoom through a 3D object on their mobile device / have interacted with a similar app before, which may not be the case. More instructions need to be provided for novice users who do not have previous exposure to navigating through a 3D graph. Otherwise, they cannot use your app.</t>
  </si>
  <si>
    <t>You can address this in two different ways. The first method is to add a "?" or "Help" button. Another method is to show pop-ups / a short tutorial of how "dragging" and "zooming" is done on your app, and let users try each action once.</t>
  </si>
  <si>
    <t>A, D</t>
  </si>
  <si>
    <t>H11: Accessible Design</t>
  </si>
  <si>
    <t xml:space="preserve">Users/artists who are appealed by non-visual aspects of artwork (e.g., emotion) might be at a disadvantage here.   </t>
  </si>
  <si>
    <t xml:space="preserve">Abstract art or emotional depth cannot be assessed just by exploring the art graph visually. </t>
  </si>
  <si>
    <t>Cluster the art work graph based on emotions it's related to</t>
  </si>
  <si>
    <t>B, D</t>
  </si>
  <si>
    <t>H1: Visibility of System Status</t>
  </si>
  <si>
    <t xml:space="preserve">When users click the "Metrics" tab on the top and select "color", some colors on the graph changes, but it is unclear about what the system is actually doing, what the new colors represent, and why these changes occurred. </t>
  </si>
  <si>
    <t>There is a lack of feedback and transparency over what actually happens if users select buttons under the "Metrics" tab. This forces users to guess what is happening through trial and error, which may lead to a frustrating and unsatisfying user experience.</t>
  </si>
  <si>
    <t>I am assuming that this feature is about sorting artworks by color and changing each artwork to a particular color group (e.g., warm colors, dark colors), which I inferred from your README. If this assumption holds, you should add a legend at the bottom to show what each new color represents.
Otherwise, you should add a short pop-up explanation of what the "Metrics" tab actually does.</t>
  </si>
  <si>
    <t>A, C</t>
  </si>
  <si>
    <t>Before you zoom in, when you click the filter button and click "Color", it shows that it is clickable, but does not update anything. When you actually zoom in, the color feature turns the cards red but when you're just in the overview, the system does not respond to the "Color" filter.</t>
  </si>
  <si>
    <t>Violates H1 because as a user, I don't know if I'm waiting for it to load or what. I also don't know if it's waiting for me to type in the color I'm looking for or anything so it's just confusing.</t>
  </si>
  <si>
    <t>Either remove the filter option from the zoomed out view (but I don't think that's good for your HiFi), or be able to filter by color in the zoomed out view too. At the very least, add a caption saying "Zoom in to see your applied filter!"</t>
  </si>
  <si>
    <t>C</t>
  </si>
  <si>
    <t>Lack of display of zoom amount in the initial viewing screen</t>
  </si>
  <si>
    <t>users receive no feedback about zoom level, so they can’t easily tell how much they’ve zoomed or whether further zooming is possible.</t>
  </si>
  <si>
    <t>Add a small numerical or visual zoom indicator (e.g., ‘1.2×’ label or bar) near the zoom control to help users gauge map scale</t>
  </si>
  <si>
    <t>B, C</t>
  </si>
  <si>
    <t>H6: Recognition not Recall</t>
  </si>
  <si>
    <t xml:space="preserve">Instructions for the zoom function are located on a separate screen rather than near the control itself. 
Drag and zoom to explore appears before the action can be taken on the next screen (Art work graph). </t>
  </si>
  <si>
    <t xml:space="preserve">Description of zoom interaction on same page as zoom could be more advantageous documentation so less for recall. Users might be confused what this means until they get to next step. </t>
  </si>
  <si>
    <t>Provide on screen label or short visual hint (e.g., “Pinch to zoom” or “Use slider to zoom in/out”) near the zoom control. Ensure this help disappears after first use or once the user performs the action successfully.</t>
  </si>
  <si>
    <t>B, D, C</t>
  </si>
  <si>
    <t>H4: Consistency &amp; Standards</t>
  </si>
  <si>
    <t>Unclear what is tappable. Not obvious whether the artwork image itself can be selected</t>
  </si>
  <si>
    <t>Users might expect the main visual object (artwork) to be interactive if it’s surrounded by other similar elements.</t>
  </si>
  <si>
    <t>Increase the target area to include the image.</t>
  </si>
  <si>
    <t>B</t>
  </si>
  <si>
    <t>See reflection buttons are not on other nodes: Only the currently selected artwork node shows a “See Reflection” button, while other visible nodes do not. This inconsistency makes it unclear whether other artworks can also be explored or if only one node has reflections available.</t>
  </si>
  <si>
    <t>Should be symmetrical if nodes have the ability to be  tappable. Elements of the same type (artwork nodes) should behave consistently. However with multiple nodes I wonder if it will be too cluttered and less effective. If the node in view has different functionality there should be more visual distinction</t>
  </si>
  <si>
    <t>Adding similar visual buttons for all nodes or making a more important contrast between node in view and node out of view (like changing opacity, more contrast with size) to make it seem more intentional while still indicating that the other nodes are tappable (But be cognizant of not having things being too visually cluttered). Right now its ambiguous</t>
  </si>
  <si>
    <t>H2: Match b/w System &amp; World</t>
  </si>
  <si>
    <t xml:space="preserve">The meaning of the "small graph icon" is not obvious to users, and there is no label to describe what it means. </t>
  </si>
  <si>
    <t>Users may expect a "back" icon to be a "left arrow" icon (because this is what is shown on other pages) instead of a "small graph icon", especially if they are not familiar with other apps that involve some form of 3D navigation (e.g., street view in Google Maps, traversing a graph). In this case, using a graph icon as a back button may not align with the user's mental model. Your button that takes you back to the overall gallery from the individual artwork view is not intuitive. I kind of thought it was another artwork piece that was just formatted oddly. It should be a back arrow or should have text on it saying "Return to gallery" because otherwise it didn't really make sense. Especially because you're using a phone view, it's not big enough to convey it unless you've used the app before.</t>
  </si>
  <si>
    <t>Add a small "Back" label on top of the small graph icon (with a highly transparent background) for new users of the app.</t>
  </si>
  <si>
    <t>Artworks on the bottom are connected to the "See Reflections" box instead of the central artwork they are meant to connect to, as the lines that are meant to connect related artworks are partially obscured by the artwork's title and artist.</t>
  </si>
  <si>
    <t>The system violates visual consistency and the principle that related artworks are connected together by a line. As users rely on lines to comprehend relationships between artworks, they may be unsure about which artworks are related.</t>
  </si>
  <si>
    <t>When users search for art pieces in the search bar, the results are demonstrated in a list/grid-like view, which is inconsistent with Traverse's unique "graph" view.</t>
  </si>
  <si>
    <t xml:space="preserve">Even during a search, users are still exploring artworks. Displaying search results in a list view deviates from Traverse's unique selling point of letting users explore artworks via a graph-based layout. This lack of consistency may make users feel less engaged and weaken the app's unique value proposition. </t>
  </si>
  <si>
    <t>Display search results in a graph-based layout. If you feel that showing a list view is necessary, you should still show the graph-based layout by default for consistency, and give users the option to change their layout to a list view.</t>
  </si>
  <si>
    <t>Reflection text overlaps with the icons in the "See Reflections" page.</t>
  </si>
  <si>
    <t xml:space="preserve">Text that is covered by the add you reflection button is illegible </t>
  </si>
  <si>
    <t>consider not letting scroll information overlap with add new reflection button</t>
  </si>
  <si>
    <t>2. Moderate Task</t>
  </si>
  <si>
    <t>There is no indication of visibility status (i.e., public/private) for the user's submitted reflections.</t>
  </si>
  <si>
    <t>Users may want to double check that they have selected the visibility status correctly, especially for private, personal reflections that they do not feel comfortable sharing with the public. This may lead to anxiety if users feel that they have selected the wrong visibility status.</t>
  </si>
  <si>
    <t xml:space="preserve">Add an icon on the right side of the reflection (or right side of "@ME") to indicate the visibility status. You can use the same "eye" icon you used for the "Public"/"Private" buttons in the "Add Reflections" section to indicate this.
</t>
  </si>
  <si>
    <t>On the Add Reflection prompt, the option Region with a location icon might be confusing for users.  It is quite unclear what the "Region" button mean, unless users read the README. Users may not immediately map this button to the action of "selecting a region in the artwork".</t>
  </si>
  <si>
    <t>As the "Region" button was used alongside the map pin icon, users may initially think that this button is related to selecting their own geographical location. This error can be avoided if you use other words/icons that communicate the idea of "selecting a region on the artwork" more clearly.</t>
  </si>
  <si>
    <t>It would be better to spell out "Select Region" in the button or use an icon that suggests the action of "selecting", rather than just using a regular map pin icon. If you really want to use one word for the icon text, you may want to consider: Highlight, Select, or Annotate.</t>
  </si>
  <si>
    <t>When adding reflections to the art piece, users can toggle between Public/Private visibility. However, the meaning of "Private" is ambiguous, and the app does not specify whether a "Private" reflection is visible only to the user who wrote it, or also to the artist who uploaded the piece.</t>
  </si>
  <si>
    <t>The definition of a "private" note/comment in Traverse is different from the conventions that are used on other apps and platforms. For example, Medium used to have a similar feature of "private notes", which can be viewed by both the commentor and the original author. As users bring their experience of using other apps to Traverse, they may be uncertain about what "Private" visibility really means, and may be reluctant to add their reflections.</t>
  </si>
  <si>
    <t>Change the word "Private" to "Only Me" to emphasize that the user is the only person who can view the reflection. This visibility setting is also used on other platforms such as Facebook posts.</t>
  </si>
  <si>
    <t>H3: User Control &amp; Freedom</t>
  </si>
  <si>
    <t>Users cannot edit or delete their reflections once they submit.</t>
  </si>
  <si>
    <t>The system does not provide an "emergency exit" option for users to correct any mistakes they have made (e.g., typo, selecting wrong visibility status). This may lead to frustration and anxiety, especially if users have made a public reflection or selected the wrong visibility status, as they cannot reverse the change.</t>
  </si>
  <si>
    <t>Add "edit" and "delete" icons beside the user's reflection. You may only choose one if you feel adding two icons may cause clutter.</t>
  </si>
  <si>
    <t>James Landay's reflection is in white and when I posted a reflection, my message was in white too and the rest of the comments were on a gray background. Showing that it is my comment by changing the color makes sense but differentiating James' comment makes the user confused.</t>
  </si>
  <si>
    <t>Violates H4 because the colors are not consistent with what they mean and who they're reserved for.</t>
  </si>
  <si>
    <t>Standardize reflection background colors to avoid confusion.</t>
  </si>
  <si>
    <t>When I go to add my own reflection, it removes my ability to view the other comments as I comment.</t>
  </si>
  <si>
    <t>Violates H6 because gives the user more things to remember and more of a mental load. Rather than being able to comment while looking at past comments, they have to remember what was said.</t>
  </si>
  <si>
    <t>Keep other reflections visible and/or scrollable while typing your own.</t>
  </si>
  <si>
    <t>H7: Flexibility &amp; Efficiency of Use</t>
  </si>
  <si>
    <t>Users are forced to write their reflection before selecting a region. The interface enforces a rigid order, preventing users from choosing or adjusting regions first</t>
  </si>
  <si>
    <t>Limits efficiency depending on mental model of reflection. also violating H3 They don't need to be ordered actions, and this limits flexibility and can frustrate users who think about regions first or change their mind mid-process.</t>
  </si>
  <si>
    <t>Allow users to select regions at any point, or enable reordering of actions (e.g., select region → write reflection or write reflection → then choose region).</t>
  </si>
  <si>
    <t>H5: Error Prevention</t>
  </si>
  <si>
    <t>Submit button available when message hasn't been written. Submitting a null reflection shouldnt be possible.</t>
  </si>
  <si>
    <t>since users can easily commit an unintended or meaningless action. Submitting empty reflections can cause confusion or data clutter and forces users to backtrack or delete entries. The system should prevent errors before they occur rather than reacting afterward.</t>
  </si>
  <si>
    <t>Show visually that submit is disabled or remove the “Submit” button until text is inputted.</t>
  </si>
  <si>
    <t>Done button available when region isn't selected. Submitting a null selection shouldnt be possible.</t>
  </si>
  <si>
    <t>Since users can easily commit an unintended or meaningless action. Submitting an unselected region would be an error.</t>
  </si>
  <si>
    <t>Disable  or remove the “Done” button until a region is draw.</t>
  </si>
  <si>
    <t>The "exit" button of the "Add Reflections" section is very small and hard to select - I misclicked it several times on both the desktop and mobile version of Figma, possibly due to large fingers.</t>
  </si>
  <si>
    <t>This error could be easily prevented if the buttons were designed larger. Small buttons may lead to errors and efficiencies, according to Fitt's Law.</t>
  </si>
  <si>
    <t>Enlarge the "exit" button.</t>
  </si>
  <si>
    <t>There is not enough contrast between the highlighted region and artwork.</t>
  </si>
  <si>
    <t>White on grey may not provide enough contrast, especially for low-vision users. According to a color contrast checker (in the hyperlink), the contrast ratio between white and the grey background (#B1B1B1) is only 2.14:1, which is lower than the suggested 3:1 ratio according to the Web Content Accessibility Guidelines 2.0. Low-vision users may mistake the highlighted region as part of the art piece, and they may not be able to properly use the "highlight region" feature.</t>
  </si>
  <si>
    <t>Pick a highlight color that has sufficient contrast with the artwork. This color may vary for different artworks. It might help to use a semi-transparent color fill to emphasize the selected region.</t>
  </si>
  <si>
    <t>In the Add Reflection panel, it’s unclear whether the ‘Public’ button is toggled on or off</t>
  </si>
  <si>
    <t>Users cannot distinguish between a displayed state and an actionable button. This uncertainty can cause hesitation or incorrect assumptions about whether the reflection is currently public or still private.</t>
  </si>
  <si>
    <t xml:space="preserve">
</t>
  </si>
  <si>
    <t>Reflections don't have timestamps on them which makes them feel not really interactive.</t>
  </si>
  <si>
    <t>Violates H1 because as a user, I would like to know how many people are seeing my artwork and how engagement is looking. If you include the concept of allowing reflections, it would be nice to see when they "visited" my art.</t>
  </si>
  <si>
    <t>Add timestamps to reflections.</t>
  </si>
  <si>
    <t>Region button &amp; public/private button are same visual style of button but one is a toggle and one is a label button</t>
  </si>
  <si>
    <t>As the buttons require different actions the repetition of visual styles can make it confusing how to interact with differing elements. visually similar elements should behave in similar ways. When identical button styles produce different outcomes it requires more cognition to understand button interaction</t>
  </si>
  <si>
    <t>Possibly changing the location of the region selector so its not in line or a different button styling could make the difference clearer. Color, opacity, bordering, an arrow dropdown a variety of things could indicate the interaction differences</t>
  </si>
  <si>
    <t>As the see reflection button is blue and the add reflection button is white, as they are both buttons that are funneling the user through the critical actions of adding a reflection, it seems unnecessary and confusing for there to be a difference.</t>
  </si>
  <si>
    <t>As the see reflection button is blue and the add reflection button is white, as they are both buttons that are funneling the user through the critical actions of adding a reflection, it seems unnecessary for there to be a difference</t>
  </si>
  <si>
    <t xml:space="preserve">As the submit button is blue I think right now it makes more sense to make all of the buttons the same blue to make the line of action more consistent, but throughout design making sure button styling differences are intentional is important </t>
  </si>
  <si>
    <t>Users cannot search/filter through reflections of other people</t>
  </si>
  <si>
    <t xml:space="preserve">Users might be confused initially about why are they asking me to provide my location for the reflection. </t>
  </si>
  <si>
    <t xml:space="preserve">Region should be renamed to photshop free form selection icon which is more intuitive, and the option could be a pop-up/clickable on the artwork picture itself. </t>
  </si>
  <si>
    <t>3. Complex Task</t>
  </si>
  <si>
    <t>When users select related artworks in the "Upload Artworks" tab and use the search bar to find more related artworks, they cannot select the artworks from the search results.</t>
  </si>
  <si>
    <t>In your slides deck, you mentioned that your complex task involves "tagging related works that inspired it". However, users cannot actually achieve this because the action of tagging related works usually involves 1. searching for related works in the search bar (unless the related work is in the user's viewing history, which is unlikely), and then 2. selecting the artworks from the search results. The latter step cannot be done on your system, which gives users limited control over which artworks can be tagged as "related".</t>
  </si>
  <si>
    <t xml:space="preserve">Add a checkbox at the top right corner for each art piece listed in the search results, as you have done for the recently viewed artworks. </t>
  </si>
  <si>
    <t>The interface offers full flexibility to users to tag related works which can be dangerous, as they can try to manipulate their artwork's visibility on the platform (e.g., perform SEO or link their own artworks to popular artworks)</t>
  </si>
  <si>
    <t>Art is subjective, so if the app weighs in user's self-defined tags, then can it not compromise authenticity and accessibility as people might not be able to find accurate art from even searching or exploring.</t>
  </si>
  <si>
    <t>Just prompt the user to reflect, and create connections based on clusters of emotions, art history, timing, visuals etc and offer those filters for exploring the art graph.</t>
  </si>
  <si>
    <t>D, C</t>
  </si>
  <si>
    <t>There is no way for users to edit/delete an artwork that they have uploaded.</t>
  </si>
  <si>
    <t>The system does not provide an "undo" option if users have uploaded the wrong artwork by mistake/entered the wrong details. This limits the user's control because they are expected to accept that each upload is permanent and immutable.</t>
  </si>
  <si>
    <t>Add "edit" and "delete" buttons next to user-uploaded artwork, with appropriate confirmation (e.g., confirmation pop-up messages) for deletions.</t>
  </si>
  <si>
    <t>Users cannot add more/delete related works or edit after initial tagging</t>
  </si>
  <si>
    <t>Violates H3 by not allowing easy recovery from an incomplete or mistaken tagging decision — there’s no clear “undo” or “edit” option.</t>
  </si>
  <si>
    <t>Add an “Edit Related Works” option allowing users to revisit and modify their tagged artworks.</t>
  </si>
  <si>
    <t>B, A</t>
  </si>
  <si>
    <t>Button to submit is available before file is uploaded.</t>
  </si>
  <si>
    <t>Since users can easily commit an unintended or meaningless action. Submitting an empty artwork would be an error.</t>
  </si>
  <si>
    <t>Disable  or remove the “submit” button until a region is draw.</t>
  </si>
  <si>
    <t>There is no loading screen when users are uploading their art piece. When users click "Upload Artwork" on the screen, the interface simply transitions to the next page when the upload is complete. (The "creating something beautiful" comes AFTER you click submit, but it should give the user a loading signal when you upload an image, too.)</t>
  </si>
  <si>
    <t>It takes time to upload files, especially high-resolution files such as art pieces. Without a loading screen, users may be unsure about whether the system is processing their request / being unresponsive. This may lead to confusion and repeated upload attempts.
Remark: The "creating something beautiful" page is not a loading screen as it is shown only after the user submits their uploadeed artwork.</t>
  </si>
  <si>
    <t>Add a loading/uploading icon when the user is uploading their art piece. Ideally, this loading indicator should also show the loading progress (e.g., percentage of file uploaded), so users can estimate their waiting time.</t>
  </si>
  <si>
    <t>When users upload their artwork and click "Submit", the platform does not ask users for confirmation about whether they are sure about uploading., and immediately shows the uploaded artwork on a graph (after briefly showing an overlay of "Creating something beautiful...")</t>
  </si>
  <si>
    <t>Users may make mistakes when they upload artworks, such as having the wrong title or uploading a wrong art piece. This is a high-stakes error as the app does not support any edit/delete function, but there is no mechanism to prevent this high-stakes error from happening.</t>
  </si>
  <si>
    <t>Add a confirmation pop-up that asks users to double-check what they are uploading. This pop-up should not obstruct user inputs, so users can actually check their inputs before confirming.</t>
  </si>
  <si>
    <t>Before users upload their artwork, there is no indication of size limits and accepted formats.</t>
  </si>
  <si>
    <t xml:space="preserve">Unless Traverse has an infinitely large database, users may upload artworks that are too large or in file format that are not accepted by Traverse. There is currently no mechanism that prevents this error. </t>
  </si>
  <si>
    <t>Add bullet points under the "upload" button to show size limit and accepted formats.</t>
  </si>
  <si>
    <t>When users select related artworks as they upload their art piece, they need to manually select/search for these artworks via the search bar or by scrolling through the 2-column grid of related artworks.</t>
  </si>
  <si>
    <t>While the system provides a 2-column grid that shows recently browsed artworks, it is displayed in a linear format, and items are not organized based on relevance. This makes scanning effortful, as users need to scan carefully through a long list of items and recognize related artworks. An alternative is using the search bar, but users will need to rely on memory to recall the name of the art piece. In both scenarios, users may easily be overwhelmed.</t>
  </si>
  <si>
    <t xml:space="preserve">Recently viewed artworks should be sorted by relevance/similarity to the uploaded artwork. </t>
  </si>
  <si>
    <t>Users can only upload artworks one-by-one from their local device. There is no option for users to upload multiple artworks at the same time / from other platforms.</t>
  </si>
  <si>
    <t xml:space="preserve">This lack of flexibility over the uploading process may cause frustration during onboarding when artists use the app for the first time, as they would need to upload all their artworks manually. (Consider how even casual creatives may have a portfolio of dozens or even hundreds of art pieces.) Manually uploading artworks one-by-one may be time consuming, and this may discourage artists from uploading their whole art portfolio to Traverse. </t>
  </si>
  <si>
    <t>Support a batch upload function or allow users to sync artwork that they have uploaded to other existing platforms (e.g., Instagram, DeviantArt, etc.)</t>
  </si>
  <si>
    <t xml:space="preserve">Users have to enter the artist name, and find and search related works themselves. </t>
  </si>
  <si>
    <t xml:space="preserve">This creates a cognitive friction in contributing to the art work especially for new users/artists  </t>
  </si>
  <si>
    <t>use ai to detect/recommend</t>
  </si>
  <si>
    <t>D, C, A</t>
  </si>
  <si>
    <t xml:space="preserve">After pressing upload, the workflow of choosing a camera or from gallery, and what format, quality is absent. </t>
  </si>
  <si>
    <t xml:space="preserve">Users might feel confused about their options, and this can also lead to inconsistent art quality. </t>
  </si>
  <si>
    <t>Provide Gallery/Image options, and also  instructions, criteria of the artwork to be upload</t>
  </si>
  <si>
    <t>Check button is not aligned on click</t>
  </si>
  <si>
    <t>Lack of visual alignment, minor inconsistency</t>
  </si>
  <si>
    <t>aligning the check circle</t>
  </si>
  <si>
    <t>4. All Tasks</t>
  </si>
  <si>
    <t>You mentioned in your slides deck that one of your design values is "Authenticity". However, the current interface does not prevent any cases of impersonation or plagarism (e.g., users may upload other people's artwork under their own name or upload deliberately bad art pieces under someone else's name). There is no visible mechanism for acknowledging or verifying the authorship or ownership of displayed artworks, making attribution unclear.</t>
  </si>
  <si>
    <t>The current design does not sufficiently emphasize the value of "authenticity", as it does not actively ensure that artworks are correctly attributed to their creators. Any instaces of plagarism, impersonation, or other malicious actions may create additional burdens for artists and severely erode their trust in the platform. Respecting creators’ rights and clearly attributing artworks is an important ethical and inclusion-related value in art contexts. Lack of transparent attribution may reduce trust among art contributors and viewers.</t>
  </si>
  <si>
    <t>This is a tradeoff between authenticity and usability, but it might help to add an approval process where users need to provide more evidence to prove that they are the author of the art piece / have consent from the original artist to upload the work. It should also prefill the user's profile or name to prevent lying. Include clear attribution details on artwork views (e.g., artist name, source, rights info). Optionally add a “verified” marker or tooltip that communicates provenance or contribution type to build community trust.
A simpler fix is to allow users to report any suspected impersonation/misuse.</t>
  </si>
  <si>
    <t>D, A, B, C</t>
  </si>
  <si>
    <t>When I go to the search bar, I'm not exactly sure what to search for because it is blank and does not offer any other information.</t>
  </si>
  <si>
    <t>Violates H10 because doesn't give the user help on how to use the search feature on the app. Rather than guiding the user, the search bar assumes the user knows what they are looking for.</t>
  </si>
  <si>
    <t>Instead, possibly in gray small text, add a caption saying "Search for specific artists, art, locations..." to give the user ideas.</t>
  </si>
  <si>
    <t>Users cannot easily access additional contextual information such as artwork history, artist statements, or background, which are normally available in gallery settings.</t>
  </si>
  <si>
    <t>it doesn’t reflect real-world expectations of an art-viewing experience where rich context and meaning are integral. Users might have to leave the app to learn more, breaking immersion and continuity.</t>
  </si>
  <si>
    <t>Add an expandable “More Info” or “About the Work” section within each artwork’s detail view, so users can explore deeper without leaving the interface.</t>
  </si>
  <si>
    <t>The current visual language resembles a data visualization more than an art exhibition, which may feel impersonal or analytical to art lovers expecting a more emotional or experiential aesthetic.</t>
  </si>
  <si>
    <t>the visual style may not align with the content’s emotional and artistic purpose. As the app is more about exploration shifting design style from something a little less analytical could encourage more of the intended use. Also touches H12, as aesthetic design choices shape inclusivity and perceived respect for artistic experience.</t>
  </si>
  <si>
    <t>Revisit the color palette, typography, and layout rhythm to evoke more organic, artistic qualities. Consider smoother transitions, softer shapes, and gallery-inspired visual metaphors that reflect an art-viewing experience rather than a data map.</t>
  </si>
  <si>
    <t>No image captions throughout the artworks.</t>
  </si>
  <si>
    <t>In more image-based applications its relatively standard to have image captioning capabilities. Captioning can really help a variety of users for a variety of cognitive and visual abilities. It is important to have text supplement.</t>
  </si>
  <si>
    <t>Adding image captioning</t>
  </si>
  <si>
    <t>Navbar is not extended upwards</t>
  </si>
  <si>
    <t>Not really a typical design choice, gives expectation that action will extend above in notch space given that above the navbar colors match with the action space</t>
  </si>
  <si>
    <t>You could make the area above navbar white</t>
  </si>
  <si>
    <t>Navbar is not consistently placed/sized throughout prototype</t>
  </si>
  <si>
    <t>Violates H4: Consistency &amp; Standards, since navigation components should maintain uniform structure and location throughout the interface. Inconsistent layouts force users to reorient themselves on every screen and can break their sense of spatial continuity.</t>
  </si>
  <si>
    <t>Standardize navbar height, alignment, and placement across all screens. If variations are intentional (e.g., in zoomed vs. detail views), maintain consistent anchor positioning or provide smooth transitions that signal context change.</t>
  </si>
  <si>
    <t>5. Extra Violations</t>
  </si>
  <si>
    <t>When users tap on the "filter" icon on the top bar, the app shows a "Metrics" tab. The word "Metrics" is quite technical for a layperson and they might not understand what it means.</t>
  </si>
  <si>
    <t>The word "metrics" is confusing because it usually means "standard of measurement", which is highly different from the act of "sorting" described in your README. As a result, users may not know what to expect from this feature.</t>
  </si>
  <si>
    <t>Change "Metrics" to other words such as "Sort by..." to communicate the feature's functionality more clearly.</t>
  </si>
  <si>
    <t>Users have no option to save artworks that they liked.</t>
  </si>
  <si>
    <t>Identifying and saving a favorite piece of artwork is the end-goal of exploring new artworks, but there is no mechanism in the current setup to achieve this. If users liked a piece of artwork, they must remember what the name of the art piece they liked / their traverse path. A "save"/"like" button would reduce the user's cognitive burden and allow them to recognize the art piece later. As this is out-of-scope from the three tasks, I have highlighted this as an "extra violation".</t>
  </si>
  <si>
    <t>Add a "save" or "like" button to each art piece. This button can be positioned on the right side of the title and artist of the artwork.</t>
  </si>
  <si>
    <t>Heuristic</t>
  </si>
  <si>
    <t># Viol. (sev 0)</t>
  </si>
  <si>
    <t># Viol. (sev 1)</t>
  </si>
  <si>
    <t># Viol. (sev 2)</t>
  </si>
  <si>
    <t># Viol. (sev 3)</t>
  </si>
  <si>
    <t># Viol. (sev 4)</t>
  </si>
  <si>
    <t># Viol. (total)</t>
  </si>
  <si>
    <t>H9: Help Users with Errors</t>
  </si>
  <si>
    <t>Note: no H9 violation, as there are no error messages shown in the medium-fi prototype.</t>
  </si>
  <si>
    <t>H12. ​​Value Alignment &amp; Inclusion</t>
  </si>
  <si>
    <t>Total Violations</t>
  </si>
  <si>
    <r>
      <rPr>
        <rFont val="Arial"/>
        <i/>
        <color theme="1"/>
      </rPr>
      <t xml:space="preserve">* for this to calculate properly, </t>
    </r>
    <r>
      <rPr>
        <rFont val="Arial"/>
        <b/>
        <i/>
        <color theme="1"/>
      </rPr>
      <t>delete</t>
    </r>
    <r>
      <rPr>
        <rFont val="Arial"/>
        <i/>
        <color theme="1"/>
      </rPr>
      <t xml:space="preserve"> any unused rows from your 'Group Heuristic Evaluation' chart!</t>
    </r>
  </si>
  <si>
    <r>
      <rPr>
        <rFont val="Arial"/>
        <b/>
        <color theme="1"/>
      </rPr>
      <t xml:space="preserve">Evaluator A 
</t>
    </r>
    <r>
      <rPr>
        <rFont val="Arial"/>
        <b/>
        <i/>
        <color theme="1"/>
      </rPr>
      <t>[your name here]</t>
    </r>
  </si>
  <si>
    <r>
      <rPr>
        <rFont val="Arial"/>
        <b/>
        <color theme="1"/>
      </rPr>
      <t xml:space="preserve">Evaluator B
</t>
    </r>
    <r>
      <rPr>
        <rFont val="Arial"/>
        <b/>
        <i/>
        <color theme="1"/>
      </rPr>
      <t>[your name here]</t>
    </r>
  </si>
  <si>
    <r>
      <rPr>
        <rFont val="Arial"/>
        <b/>
        <color theme="1"/>
      </rPr>
      <t xml:space="preserve">Evaluator C 
</t>
    </r>
    <r>
      <rPr>
        <rFont val="Arial"/>
        <b/>
        <i/>
        <color theme="1"/>
      </rPr>
      <t>[your name here]</t>
    </r>
  </si>
  <si>
    <r>
      <rPr>
        <rFont val="Arial"/>
        <b/>
        <color theme="1"/>
      </rPr>
      <t xml:space="preserve">Evaluator D 
</t>
    </r>
    <r>
      <rPr>
        <rFont val="Arial"/>
        <b/>
        <i/>
        <color theme="1"/>
      </rPr>
      <t>[your name here]</t>
    </r>
  </si>
  <si>
    <t>Total (sevs. 3 &amp; 4)</t>
  </si>
  <si>
    <t>Total (all sevs)</t>
  </si>
  <si>
    <r>
      <rPr>
        <rFont val="Arial"/>
        <b/>
        <color theme="1"/>
      </rPr>
      <t xml:space="preserve">Summary Recommendations </t>
    </r>
    <r>
      <rPr>
        <rFont val="Arial"/>
        <b val="0"/>
        <i/>
        <color theme="1"/>
      </rPr>
      <t>[merge the general recommendations you made here]</t>
    </r>
  </si>
  <si>
    <r>
      <rPr>
        <rFont val="Arial"/>
        <color theme="1"/>
      </rPr>
      <t xml:space="preserve">The prototype demonstrates a strong foundation with its minimalist design, cohesive color use, and intuitive navigation. Its novel graph-based interface offers a fresh approach to digital art exploration, making the experience visually appealing and conceptually unique. However, while the design is clean and usable, several mismatches between interface metaphors and users’ mental models hinder intuitive understanding. These issues, reflected in heuristic violations (notably H2, H3, H5, H8, and H10), suggest a need to realign affordances, icons, and interaction patterns with user expectations—particularly for casual creatives who may be less tech-savvy.
Key Usability and Conceptual Issues we have identified are outlined below:
</t>
    </r>
    <r>
      <rPr>
        <rFont val="Arial"/>
        <b/>
        <color theme="1"/>
      </rPr>
      <t>* Misaligned metaphors and labels</t>
    </r>
    <r>
      <rPr>
        <rFont val="Arial"/>
        <color theme="1"/>
      </rPr>
      <t xml:space="preserve">: Certain design choices, such as the “Region” button paired with a map pin icon, may mislead users into interpreting it as a geographic selector rather than an artwork category. Similarly, visibility labels like “Private” may not clearly convey their implications.
</t>
    </r>
    <r>
      <rPr>
        <rFont val="Arial"/>
        <b/>
        <color theme="1"/>
      </rPr>
      <t xml:space="preserve">* Limited guidance and feedback: </t>
    </r>
    <r>
      <rPr>
        <rFont val="Arial"/>
        <color theme="1"/>
      </rPr>
      <t xml:space="preserve">The current prototype lacks onboarding and feedback mechanisms (e.g., no tutorial for navigating the graph, minimal confirmation cues, no clear zoom or toggle states), which may cause confusion, especially for new users.
</t>
    </r>
    <r>
      <rPr>
        <rFont val="Arial"/>
        <b/>
        <color theme="1"/>
      </rPr>
      <t>* Insufficient error prevention and recovery:</t>
    </r>
    <r>
      <rPr>
        <rFont val="Arial"/>
        <color theme="1"/>
      </rPr>
      <t xml:space="preserve"> Users cannot edit/delete reflections or artworks, and there is limited visibility into reflection statuses or upload outcomes. This lack of control could undermine user confidence, particularly when sharing personal or creative content.
</t>
    </r>
    <r>
      <rPr>
        <rFont val="Arial"/>
        <b/>
        <color theme="1"/>
      </rPr>
      <t xml:space="preserve">* Safety and content moderation risks: </t>
    </r>
    <r>
      <rPr>
        <rFont val="Arial"/>
        <color theme="1"/>
      </rPr>
      <t xml:space="preserve">Allowing unvetted uploads introduces risks of plagiarism, impersonation, and inappropriate content, with no clear system for review or approval.
</t>
    </r>
    <r>
      <rPr>
        <rFont val="Arial"/>
        <b/>
        <color theme="1"/>
      </rPr>
      <t>* Aesthetic and emotional engagement:</t>
    </r>
    <r>
      <rPr>
        <rFont val="Arial"/>
        <color theme="1"/>
      </rPr>
      <t xml:space="preserve"> Although the interface is visually clean, it could better immerse users in the art-viewing experience. Currently, the graph structure sometimes distracts from the artworks themselves.
</t>
    </r>
    <r>
      <rPr>
        <rFont val="Arial"/>
        <b/>
        <color theme="1"/>
      </rPr>
      <t xml:space="preserve">* Conceptual grounding: </t>
    </r>
    <r>
      <rPr>
        <rFont val="Arial"/>
        <color theme="1"/>
      </rPr>
      <t xml:space="preserve">The platform’s goal of fostering emotional depth over social validation (e.g., avoiding “likes”) is compelling but needs clearer articulation—how can emotional engagement be meaningfully represented through the interface?
* </t>
    </r>
    <r>
      <rPr>
        <rFont val="Arial"/>
        <b/>
        <color theme="1"/>
      </rPr>
      <t xml:space="preserve">Trust &amp; Ethics: </t>
    </r>
    <r>
      <rPr>
        <rFont val="Arial"/>
        <color theme="1"/>
      </rPr>
      <t>As artists may be skeptical about privacy concerns of feeding art to an AI tool, proper description of how artwork data is used is essential in the interface to create user trust</t>
    </r>
    <r>
      <rPr>
        <rFont val="Arial"/>
        <b/>
        <color theme="1"/>
      </rPr>
      <t xml:space="preserve"> </t>
    </r>
    <r>
      <rPr>
        <rFont val="Arial"/>
        <color theme="1"/>
      </rPr>
      <t xml:space="preserve">
Based on these identified issues, we provide the following recommendations:
1. Refine affordances and consistency: Review all labels, icons, and interaction metaphors to ensure they align with common user expectations and conventions from familiar platforms (e.g., Medium). Maintain consistent button styles, navigation patterns, and toggle behaviors.
2. Enhance learnability and feedback: Introduce an interactive onboarding tutorial to teach users key gestures (e.g., dragging, zooming) and provide real-time feedback such as zoom indicators, confirmation messages, and status updates.
3. Strengthen error handling and user control: Allow users to edit/delete reflections and artworks, verify visibility settings, and receive clear error or success messages during actions like uploads.
4. Improve visual immersion: Simplify the task flow by enlarging artwork thumbnails and reducing visual clutter so that the art remains the primary focal point. Consider features like emotional or thematic “clusters” to enrich exploration and connection.
5. Ensure inclusivity and accessibility: Include larger tap targets, captioning for artworks, and legible text to broaden accessibility.
6. Implement content safety measures: Establish an upload approval process, display upload status, and develop moderation systems to protect both artists and audiences from harmful or plagiarized content.
7. Support diverse user motivations: Acknowledge the needs of both artists and art enjoyers—artists need literacy and agency over how their work is shared, while art explorers seek inspiration, connection, and emotional resonance.
8. Enable user engagement and retention: Allow users to save, download, or revisit favorite artworks and enable bulk uploads during onboarding to mitigate early-stage engagement challenges (e.g., Cold Start issues).
Overall, the prototype shows impressive progress toward reimagining digital art exploration. With further refinement in aligning interaction metaphors, enhancing feedback and safety mechanisms, and deepening emotional and aesthetic engagement, it has strong potential to offer a truly meaningful and inclusive experience for both artists and art enthusiasts. </t>
    </r>
  </si>
  <si>
    <r>
      <rPr>
        <rFont val="Arial"/>
        <i/>
        <color theme="1"/>
      </rPr>
      <t xml:space="preserve"> I really like this concept of reimagining digital art displays. I think for the most part really focusing on grounding design metaphors and choices in what the user wants and needs from an art experience is key. Think about why a user may want to explore art or gain inspiration from art. What do they need when looking for inspiration compared to looking at art for entertainment. How can you support a variety of user experineces. Additionally, as your app requires people to put artist's art into an AI platforn think about how you can allow for artists to have literacy and acknowledge how their art is being shared. As your app really must prioritize both artists and art enjoyers  as impacted stakeholders think about the distinct needs of these different groups.
For more general usability and inclusiveness of Traverse, focus on enhancing visibility and feedback mechanisms throughout the interface, for example, adding clear zoom indicators, consistent toggle states, and confirmation cues when actions are completed.  Secondly, prioritize consistency and flexibility in interaction patterns, ensuring that similar elements behave predictably and users can perform actions in multiple intuitive orders. Given Traverse’s audience of casual art explorers, maintaining consistent button styles, navigation placements, and freedom to choose reflection or region order will reduce cognitive load and foster creative flow. Additionally, including larger tap targets, image captioning, and text clarity will broaden the platform’s appeal and align with inclusive design best practices. (</t>
    </r>
    <r>
      <rPr>
        <rFont val="Arial"/>
        <b/>
        <i/>
        <color theme="1"/>
      </rPr>
      <t xml:space="preserve">D: I felt like the problem statement was not clearly addressed in the design as it focused on not creating a digital space that priortizes consumption but rather emotional depth. But how can you assess emotional depth by visually exploring the art graph? But I liked the idea of not judging based on likes:  Recommendations:  Create emotional clusters for artwork, and allow recommend art work based on the user's past reflections) </t>
    </r>
  </si>
</sst>
</file>

<file path=xl/styles.xml><?xml version="1.0" encoding="utf-8"?>
<styleSheet xmlns="http://schemas.openxmlformats.org/spreadsheetml/2006/main" xmlns:x14ac="http://schemas.microsoft.com/office/spreadsheetml/2009/9/ac" xmlns:mc="http://schemas.openxmlformats.org/markup-compatibility/2006">
  <fonts count="23">
    <font>
      <sz val="10.0"/>
      <color rgb="FF000000"/>
      <name val="Arial"/>
      <scheme val="minor"/>
    </font>
    <font>
      <b/>
      <color theme="1"/>
      <name val="Arial"/>
      <scheme val="minor"/>
    </font>
    <font>
      <i/>
      <sz val="11.0"/>
      <color theme="1"/>
      <name val="Arial"/>
    </font>
    <font>
      <color theme="1"/>
      <name val="Arial"/>
      <scheme val="minor"/>
    </font>
    <font>
      <i/>
      <color theme="1"/>
      <name val="Arial"/>
      <scheme val="minor"/>
    </font>
    <font>
      <b/>
      <color theme="1"/>
      <name val="Arial"/>
    </font>
    <font>
      <color rgb="FF434343"/>
      <name val="Roboto"/>
    </font>
    <font>
      <color rgb="FFFFCFC9"/>
      <name val="Roboto"/>
    </font>
    <font>
      <color theme="1"/>
      <name val="Arial"/>
    </font>
    <font>
      <color rgb="FFB10202"/>
      <name val="Roboto"/>
    </font>
    <font>
      <sz val="10.0"/>
      <color theme="1"/>
      <name val="Arial"/>
      <scheme val="minor"/>
    </font>
    <font>
      <color rgb="FF753800"/>
      <name val="Roboto"/>
    </font>
    <font>
      <color theme="1"/>
      <name val="Roboto"/>
    </font>
    <font>
      <color rgb="FF473821"/>
      <name val="Roboto"/>
    </font>
    <font>
      <sz val="11.0"/>
      <color rgb="FF434343"/>
      <name val="Roboto"/>
    </font>
    <font>
      <sz val="11.0"/>
      <color rgb="FF473821"/>
      <name val="Roboto"/>
    </font>
    <font>
      <b/>
      <sz val="9.0"/>
      <color rgb="FF000000"/>
      <name val="&quot;Source Sans Pro&quot;"/>
    </font>
    <font>
      <color theme="1"/>
      <name val="Google Sans Mono"/>
    </font>
    <font>
      <sz val="9.0"/>
      <color rgb="FF000000"/>
      <name val="Google Sans Mono"/>
    </font>
    <font>
      <sz val="9.0"/>
      <color rgb="FF000000"/>
      <name val="&quot;Google Sans Mono&quot;"/>
    </font>
    <font>
      <sz val="9.0"/>
      <color rgb="FF000000"/>
      <name val="Arial"/>
      <scheme val="minor"/>
    </font>
    <font/>
    <font>
      <i/>
      <color theme="1"/>
      <name val="Arial"/>
    </font>
  </fonts>
  <fills count="7">
    <fill>
      <patternFill patternType="none"/>
    </fill>
    <fill>
      <patternFill patternType="lightGray"/>
    </fill>
    <fill>
      <patternFill patternType="solid">
        <fgColor rgb="FFFFFF00"/>
        <bgColor rgb="FFFFFF00"/>
      </patternFill>
    </fill>
    <fill>
      <patternFill patternType="solid">
        <fgColor rgb="FFF3F3F3"/>
        <bgColor rgb="FFF3F3F3"/>
      </patternFill>
    </fill>
    <fill>
      <patternFill patternType="solid">
        <fgColor rgb="FFFFFFFF"/>
        <bgColor rgb="FFFFFFFF"/>
      </patternFill>
    </fill>
    <fill>
      <patternFill patternType="solid">
        <fgColor rgb="FFF6F8F9"/>
        <bgColor rgb="FFF6F8F9"/>
      </patternFill>
    </fill>
    <fill>
      <patternFill patternType="solid">
        <fgColor rgb="FFEFEFEF"/>
        <bgColor rgb="FFEFEFEF"/>
      </patternFill>
    </fill>
  </fills>
  <borders count="14">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right style="thin">
        <color rgb="FF000000"/>
      </right>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145">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shrinkToFit="0" vertical="bottom" wrapText="1"/>
    </xf>
    <xf borderId="0" fillId="0" fontId="3" numFmtId="0" xfId="0" applyAlignment="1" applyFont="1">
      <alignment horizontal="left" readingOrder="0" shrinkToFit="0" wrapText="1"/>
    </xf>
    <xf borderId="0" fillId="2" fontId="1" numFmtId="0" xfId="0" applyAlignment="1" applyFill="1" applyFont="1">
      <alignment horizontal="left" readingOrder="0" shrinkToFit="0" wrapText="1"/>
    </xf>
    <xf borderId="0" fillId="0" fontId="4" numFmtId="0" xfId="0" applyAlignment="1" applyFont="1">
      <alignment horizontal="left" readingOrder="0" shrinkToFit="0" wrapText="1"/>
    </xf>
    <xf borderId="0" fillId="0" fontId="3" numFmtId="0" xfId="0" applyAlignment="1" applyFont="1">
      <alignment readingOrder="0" shrinkToFit="0" wrapText="1"/>
    </xf>
    <xf borderId="0" fillId="3" fontId="1" numFmtId="0" xfId="0" applyAlignment="1" applyFill="1" applyFont="1">
      <alignment horizontal="left" readingOrder="0" shrinkToFit="0" wrapText="1"/>
    </xf>
    <xf borderId="0" fillId="3" fontId="5" numFmtId="0" xfId="0" applyAlignment="1" applyFont="1">
      <alignment shrinkToFit="0" vertical="bottom" wrapText="1"/>
    </xf>
    <xf borderId="0" fillId="0" fontId="3" numFmtId="0" xfId="0" applyAlignment="1" applyFont="1">
      <alignment horizontal="left" readingOrder="0" shrinkToFit="0" wrapText="1"/>
    </xf>
    <xf borderId="0" fillId="0" fontId="3" numFmtId="0" xfId="0" applyAlignment="1" applyFont="1">
      <alignment horizontal="left" readingOrder="0" shrinkToFit="0" wrapText="1"/>
    </xf>
    <xf borderId="0" fillId="0" fontId="3" numFmtId="0" xfId="0" applyAlignment="1" applyFont="1">
      <alignment horizontal="left" readingOrder="0" shrinkToFit="0" vertical="center" wrapText="1"/>
    </xf>
    <xf borderId="1" fillId="4" fontId="6" numFmtId="0" xfId="0" applyAlignment="1" applyBorder="1" applyFill="1" applyFont="1">
      <alignment horizontal="right" shrinkToFit="0" vertical="center" wrapText="0"/>
    </xf>
    <xf borderId="2" fillId="4" fontId="6" numFmtId="0" xfId="0" applyAlignment="1" applyBorder="1" applyFont="1">
      <alignment shrinkToFit="0" vertical="center" wrapText="0"/>
    </xf>
    <xf borderId="2" fillId="4" fontId="7" numFmtId="0" xfId="0" applyAlignment="1" applyBorder="1" applyFont="1">
      <alignment horizontal="right" shrinkToFit="0" vertical="center" wrapText="0"/>
    </xf>
    <xf borderId="2" fillId="4" fontId="6" numFmtId="49" xfId="0" applyAlignment="1" applyBorder="1" applyFont="1" applyNumberFormat="1">
      <alignment shrinkToFit="0" vertical="center" wrapText="1"/>
    </xf>
    <xf borderId="0" fillId="4" fontId="8" numFmtId="0" xfId="0" applyAlignment="1" applyFont="1">
      <alignment shrinkToFit="0" vertical="center" wrapText="1"/>
    </xf>
    <xf borderId="2" fillId="4" fontId="6" numFmtId="0" xfId="0" applyAlignment="1" applyBorder="1" applyFont="1">
      <alignment readingOrder="0" shrinkToFit="0" vertical="center" wrapText="1"/>
    </xf>
    <xf borderId="3" fillId="4" fontId="6" numFmtId="0" xfId="0" applyAlignment="1" applyBorder="1" applyFont="1">
      <alignment shrinkToFit="0" vertical="center" wrapText="1"/>
    </xf>
    <xf borderId="0" fillId="0" fontId="8" numFmtId="0" xfId="0" applyAlignment="1" applyFont="1">
      <alignment readingOrder="0" shrinkToFit="0" vertical="bottom" wrapText="0"/>
    </xf>
    <xf borderId="4" fillId="5" fontId="6" numFmtId="0" xfId="0" applyAlignment="1" applyBorder="1" applyFill="1" applyFont="1">
      <alignment shrinkToFit="0" vertical="center" wrapText="0"/>
    </xf>
    <xf borderId="4" fillId="5" fontId="9" numFmtId="0" xfId="0" applyAlignment="1" applyBorder="1" applyFont="1">
      <alignment horizontal="right" shrinkToFit="0" vertical="center" wrapText="0"/>
    </xf>
    <xf borderId="4" fillId="4" fontId="6" numFmtId="49" xfId="0" applyAlignment="1" applyBorder="1" applyFont="1" applyNumberFormat="1">
      <alignment shrinkToFit="0" vertical="center" wrapText="1"/>
    </xf>
    <xf borderId="0" fillId="0" fontId="3" numFmtId="0" xfId="0" applyAlignment="1" applyFont="1">
      <alignment shrinkToFit="0" vertical="center" wrapText="0"/>
    </xf>
    <xf borderId="4" fillId="5" fontId="6" numFmtId="0" xfId="0" applyAlignment="1" applyBorder="1" applyFont="1">
      <alignment shrinkToFit="0" vertical="center" wrapText="1"/>
    </xf>
    <xf borderId="5" fillId="5" fontId="6" numFmtId="0" xfId="0" applyAlignment="1" applyBorder="1" applyFont="1">
      <alignment shrinkToFit="0" vertical="center" wrapText="1"/>
    </xf>
    <xf borderId="0" fillId="0" fontId="3" numFmtId="0" xfId="0" applyAlignment="1" applyFont="1">
      <alignment readingOrder="0" shrinkToFit="0" vertical="center" wrapText="0"/>
    </xf>
    <xf borderId="2" fillId="4" fontId="9" numFmtId="0" xfId="0" applyAlignment="1" applyBorder="1" applyFont="1">
      <alignment horizontal="right" shrinkToFit="0" vertical="center" wrapText="0"/>
    </xf>
    <xf borderId="0" fillId="0" fontId="10" numFmtId="0" xfId="0" applyAlignment="1" applyFont="1">
      <alignment readingOrder="0" shrinkToFit="0" vertical="center" wrapText="1"/>
    </xf>
    <xf borderId="2" fillId="5" fontId="6" numFmtId="0" xfId="0" applyAlignment="1" applyBorder="1" applyFont="1">
      <alignment shrinkToFit="0" vertical="center" wrapText="0"/>
    </xf>
    <xf borderId="2" fillId="5" fontId="9" numFmtId="0" xfId="0" applyAlignment="1" applyBorder="1" applyFont="1">
      <alignment horizontal="right" shrinkToFit="0" vertical="center" wrapText="0"/>
    </xf>
    <xf borderId="2" fillId="5" fontId="6" numFmtId="49" xfId="0" applyAlignment="1" applyBorder="1" applyFont="1" applyNumberFormat="1">
      <alignment readingOrder="0" shrinkToFit="0" vertical="center" wrapText="1"/>
    </xf>
    <xf borderId="2" fillId="5" fontId="8" numFmtId="0" xfId="0" applyAlignment="1" applyBorder="1" applyFont="1">
      <alignment shrinkToFit="0" vertical="center" wrapText="0"/>
    </xf>
    <xf borderId="2" fillId="5" fontId="6" numFmtId="0" xfId="0" applyAlignment="1" applyBorder="1" applyFont="1">
      <alignment shrinkToFit="0" vertical="center" wrapText="1"/>
    </xf>
    <xf borderId="3" fillId="5" fontId="6" numFmtId="0" xfId="0" applyAlignment="1" applyBorder="1" applyFont="1">
      <alignment shrinkToFit="0" vertical="center" wrapText="1"/>
    </xf>
    <xf borderId="4" fillId="4" fontId="6" numFmtId="0" xfId="0" applyAlignment="1" applyBorder="1" applyFont="1">
      <alignment shrinkToFit="0" vertical="center" wrapText="0"/>
    </xf>
    <xf borderId="4" fillId="4" fontId="11" numFmtId="0" xfId="0" applyAlignment="1" applyBorder="1" applyFont="1">
      <alignment horizontal="right" shrinkToFit="0" vertical="center" wrapText="0"/>
    </xf>
    <xf borderId="4" fillId="0" fontId="3" numFmtId="0" xfId="0" applyAlignment="1" applyBorder="1" applyFont="1">
      <alignment shrinkToFit="0" vertical="center" wrapText="0"/>
    </xf>
    <xf borderId="4" fillId="4" fontId="6" numFmtId="0" xfId="0" applyAlignment="1" applyBorder="1" applyFont="1">
      <alignment shrinkToFit="0" vertical="center" wrapText="1"/>
    </xf>
    <xf borderId="5" fillId="4" fontId="6" numFmtId="0" xfId="0" applyAlignment="1" applyBorder="1" applyFont="1">
      <alignment shrinkToFit="0" vertical="center" wrapText="1"/>
    </xf>
    <xf borderId="2" fillId="5" fontId="6" numFmtId="0" xfId="0" applyAlignment="1" applyBorder="1" applyFont="1">
      <alignment readingOrder="0" shrinkToFit="0" vertical="center" wrapText="0"/>
    </xf>
    <xf borderId="2" fillId="5" fontId="9" numFmtId="0" xfId="0" applyAlignment="1" applyBorder="1" applyFont="1">
      <alignment horizontal="right" readingOrder="0" shrinkToFit="0" vertical="center" wrapText="0"/>
    </xf>
    <xf borderId="2" fillId="0" fontId="3" numFmtId="49" xfId="0" applyAlignment="1" applyBorder="1" applyFont="1" applyNumberFormat="1">
      <alignment readingOrder="0" shrinkToFit="0" vertical="center" wrapText="1"/>
    </xf>
    <xf borderId="2" fillId="0" fontId="3" numFmtId="0" xfId="0" applyAlignment="1" applyBorder="1" applyFont="1">
      <alignment readingOrder="0" shrinkToFit="0" vertical="center" wrapText="1"/>
    </xf>
    <xf borderId="3" fillId="0" fontId="3" numFmtId="0" xfId="0" applyAlignment="1" applyBorder="1" applyFont="1">
      <alignment readingOrder="0" shrinkToFit="0" vertical="center" wrapText="1"/>
    </xf>
    <xf borderId="0" fillId="4" fontId="6" numFmtId="0" xfId="0" applyAlignment="1" applyFont="1">
      <alignment shrinkToFit="0" vertical="center" wrapText="0"/>
    </xf>
    <xf borderId="0" fillId="4" fontId="9" numFmtId="0" xfId="0" applyAlignment="1" applyFont="1">
      <alignment horizontal="right" readingOrder="0" shrinkToFit="0" vertical="center" wrapText="0"/>
    </xf>
    <xf borderId="0" fillId="4" fontId="6" numFmtId="49" xfId="0" applyAlignment="1" applyFont="1" applyNumberFormat="1">
      <alignment shrinkToFit="0" vertical="center" wrapText="1"/>
    </xf>
    <xf borderId="0" fillId="0" fontId="3" numFmtId="0" xfId="0" applyAlignment="1" applyFont="1">
      <alignment readingOrder="0" shrinkToFit="0" vertical="center" wrapText="0"/>
    </xf>
    <xf borderId="4" fillId="5" fontId="11" numFmtId="0" xfId="0" applyAlignment="1" applyBorder="1" applyFont="1">
      <alignment horizontal="right" shrinkToFit="0" vertical="center" wrapText="0"/>
    </xf>
    <xf borderId="4" fillId="5" fontId="12" numFmtId="49" xfId="0" applyAlignment="1" applyBorder="1" applyFont="1" applyNumberFormat="1">
      <alignment readingOrder="0" shrinkToFit="0" vertical="center" wrapText="1"/>
    </xf>
    <xf borderId="4" fillId="5" fontId="8" numFmtId="0" xfId="0" applyAlignment="1" applyBorder="1" applyFont="1">
      <alignment shrinkToFit="0" vertical="center" wrapText="1"/>
    </xf>
    <xf borderId="4" fillId="5" fontId="6" numFmtId="0" xfId="0" applyAlignment="1" applyBorder="1" applyFont="1">
      <alignment readingOrder="0" shrinkToFit="0" vertical="center" wrapText="1"/>
    </xf>
    <xf borderId="2" fillId="4" fontId="9" numFmtId="0" xfId="0" applyAlignment="1" applyBorder="1" applyFont="1">
      <alignment horizontal="right" readingOrder="0" shrinkToFit="0" vertical="center" wrapText="0"/>
    </xf>
    <xf borderId="2" fillId="4" fontId="6" numFmtId="49" xfId="0" applyAlignment="1" applyBorder="1" applyFont="1" applyNumberFormat="1">
      <alignment readingOrder="0" shrinkToFit="0" vertical="center" wrapText="1"/>
    </xf>
    <xf borderId="2" fillId="4" fontId="6" numFmtId="0" xfId="0" applyAlignment="1" applyBorder="1" applyFont="1">
      <alignment shrinkToFit="0" vertical="center" wrapText="1"/>
    </xf>
    <xf borderId="4" fillId="5" fontId="9" numFmtId="0" xfId="0" applyAlignment="1" applyBorder="1" applyFont="1">
      <alignment horizontal="right" readingOrder="0" shrinkToFit="0" vertical="center" wrapText="0"/>
    </xf>
    <xf borderId="4" fillId="5" fontId="6" numFmtId="49" xfId="0" applyAlignment="1" applyBorder="1" applyFont="1" applyNumberFormat="1">
      <alignment shrinkToFit="0" vertical="center" wrapText="1"/>
    </xf>
    <xf borderId="5" fillId="5" fontId="6" numFmtId="0" xfId="0" applyAlignment="1" applyBorder="1" applyFont="1">
      <alignment readingOrder="0" shrinkToFit="0" vertical="center" wrapText="1"/>
    </xf>
    <xf borderId="2" fillId="5" fontId="13" numFmtId="0" xfId="0" applyAlignment="1" applyBorder="1" applyFont="1">
      <alignment horizontal="right" shrinkToFit="0" vertical="center" wrapText="0"/>
    </xf>
    <xf borderId="2" fillId="5" fontId="6" numFmtId="49" xfId="0" applyAlignment="1" applyBorder="1" applyFont="1" applyNumberFormat="1">
      <alignment shrinkToFit="0" vertical="center" wrapText="1"/>
    </xf>
    <xf borderId="2" fillId="5" fontId="6" numFmtId="0" xfId="0" applyAlignment="1" applyBorder="1" applyFont="1">
      <alignment readingOrder="0" shrinkToFit="0" vertical="center" wrapText="1"/>
    </xf>
    <xf borderId="4" fillId="5" fontId="13" numFmtId="0" xfId="0" applyAlignment="1" applyBorder="1" applyFont="1">
      <alignment horizontal="right" shrinkToFit="0" vertical="center" wrapText="0"/>
    </xf>
    <xf borderId="0" fillId="0" fontId="8" numFmtId="0" xfId="0" applyAlignment="1" applyFont="1">
      <alignment vertical="bottom"/>
    </xf>
    <xf borderId="2" fillId="4" fontId="13" numFmtId="0" xfId="0" applyAlignment="1" applyBorder="1" applyFont="1">
      <alignment horizontal="right" shrinkToFit="0" vertical="center" wrapText="0"/>
    </xf>
    <xf borderId="4" fillId="4" fontId="6" numFmtId="0" xfId="0" applyAlignment="1" applyBorder="1" applyFont="1">
      <alignment shrinkToFit="0" vertical="center" wrapText="0"/>
    </xf>
    <xf borderId="4" fillId="4" fontId="9" numFmtId="0" xfId="0" applyAlignment="1" applyBorder="1" applyFont="1">
      <alignment horizontal="right" readingOrder="0" shrinkToFit="0" vertical="center" wrapText="0"/>
    </xf>
    <xf borderId="4" fillId="4" fontId="6" numFmtId="49" xfId="0" applyAlignment="1" applyBorder="1" applyFont="1" applyNumberFormat="1">
      <alignment readingOrder="0" shrinkToFit="0" vertical="center" wrapText="1"/>
    </xf>
    <xf borderId="2" fillId="5" fontId="6" numFmtId="0" xfId="0" applyAlignment="1" applyBorder="1" applyFont="1">
      <alignment shrinkToFit="0" vertical="center" wrapText="0"/>
    </xf>
    <xf borderId="2" fillId="5" fontId="11" numFmtId="0" xfId="0" applyAlignment="1" applyBorder="1" applyFont="1">
      <alignment horizontal="right" readingOrder="0" shrinkToFit="0" vertical="center" wrapText="0"/>
    </xf>
    <xf borderId="4" fillId="5" fontId="6" numFmtId="0" xfId="0" applyAlignment="1" applyBorder="1" applyFont="1">
      <alignment shrinkToFit="0" vertical="center" wrapText="0"/>
    </xf>
    <xf borderId="4" fillId="5" fontId="9" numFmtId="0" xfId="0" applyAlignment="1" applyBorder="1" applyFont="1">
      <alignment horizontal="right" shrinkToFit="0" vertical="center" wrapText="0"/>
    </xf>
    <xf borderId="4" fillId="5" fontId="6" numFmtId="49" xfId="0" applyAlignment="1" applyBorder="1" applyFont="1" applyNumberFormat="1">
      <alignment readingOrder="0" shrinkToFit="0" vertical="center" wrapText="1"/>
    </xf>
    <xf borderId="2" fillId="4" fontId="11" numFmtId="0" xfId="0" applyAlignment="1" applyBorder="1" applyFont="1">
      <alignment horizontal="right" readingOrder="0" shrinkToFit="0" vertical="center" wrapText="0"/>
    </xf>
    <xf borderId="4" fillId="4" fontId="9" numFmtId="0" xfId="0" applyAlignment="1" applyBorder="1" applyFont="1">
      <alignment horizontal="right" shrinkToFit="0" vertical="center" wrapText="0"/>
    </xf>
    <xf borderId="2" fillId="4" fontId="6" numFmtId="0" xfId="0" applyAlignment="1" applyBorder="1" applyFont="1">
      <alignment readingOrder="0" shrinkToFit="0" vertical="center" wrapText="0"/>
    </xf>
    <xf borderId="2" fillId="4" fontId="8" numFmtId="0" xfId="0" applyAlignment="1" applyBorder="1" applyFont="1">
      <alignment shrinkToFit="0" vertical="center" wrapText="0"/>
    </xf>
    <xf borderId="4" fillId="4" fontId="6" numFmtId="0" xfId="0" applyAlignment="1" applyBorder="1" applyFont="1">
      <alignment readingOrder="0" shrinkToFit="0" vertical="center" wrapText="0"/>
    </xf>
    <xf borderId="4" fillId="4" fontId="11" numFmtId="0" xfId="0" applyAlignment="1" applyBorder="1" applyFont="1">
      <alignment horizontal="right" readingOrder="0" shrinkToFit="0" vertical="center" wrapText="0"/>
    </xf>
    <xf borderId="4" fillId="5" fontId="8" numFmtId="0" xfId="0" applyAlignment="1" applyBorder="1" applyFont="1">
      <alignment shrinkToFit="0" vertical="center" wrapText="0"/>
    </xf>
    <xf borderId="0" fillId="4" fontId="9" numFmtId="0" xfId="0" applyAlignment="1" applyFont="1">
      <alignment horizontal="right" shrinkToFit="0" vertical="center" wrapText="0"/>
    </xf>
    <xf borderId="2" fillId="4" fontId="12" numFmtId="49" xfId="0" applyAlignment="1" applyBorder="1" applyFont="1" applyNumberFormat="1">
      <alignment shrinkToFit="0" vertical="center" wrapText="1"/>
    </xf>
    <xf borderId="0" fillId="5" fontId="6" numFmtId="0" xfId="0" applyAlignment="1" applyFont="1">
      <alignment shrinkToFit="0" vertical="center" wrapText="0"/>
    </xf>
    <xf borderId="0" fillId="5" fontId="9" numFmtId="0" xfId="0" applyAlignment="1" applyFont="1">
      <alignment horizontal="right" shrinkToFit="0" vertical="center" wrapText="0"/>
    </xf>
    <xf borderId="5" fillId="5" fontId="12" numFmtId="0" xfId="0" applyAlignment="1" applyBorder="1" applyFont="1">
      <alignment shrinkToFit="0" vertical="center" wrapText="1"/>
    </xf>
    <xf borderId="3" fillId="4" fontId="12" numFmtId="0" xfId="0" applyAlignment="1" applyBorder="1" applyFont="1">
      <alignment shrinkToFit="0" vertical="center" wrapText="1"/>
    </xf>
    <xf borderId="0" fillId="5" fontId="6" numFmtId="0" xfId="0" applyAlignment="1" applyFont="1">
      <alignment readingOrder="0" shrinkToFit="0" vertical="center" wrapText="0"/>
    </xf>
    <xf borderId="0" fillId="5" fontId="11" numFmtId="0" xfId="0" applyAlignment="1" applyFont="1">
      <alignment horizontal="right" shrinkToFit="0" vertical="center" wrapText="0"/>
    </xf>
    <xf borderId="4" fillId="4" fontId="11" numFmtId="0" xfId="0" applyAlignment="1" applyBorder="1" applyFont="1">
      <alignment horizontal="right" shrinkToFit="0" vertical="center" wrapText="0"/>
    </xf>
    <xf borderId="2" fillId="5" fontId="11" numFmtId="0" xfId="0" applyAlignment="1" applyBorder="1" applyFont="1">
      <alignment horizontal="right" shrinkToFit="0" vertical="center" wrapText="0"/>
    </xf>
    <xf borderId="3" fillId="5" fontId="6" numFmtId="0" xfId="0" applyAlignment="1" applyBorder="1" applyFont="1">
      <alignment readingOrder="0" shrinkToFit="0" vertical="center" wrapText="1"/>
    </xf>
    <xf borderId="0" fillId="0" fontId="3" numFmtId="0" xfId="0" applyAlignment="1" applyFont="1">
      <alignment readingOrder="0"/>
    </xf>
    <xf borderId="4" fillId="5" fontId="6" numFmtId="0" xfId="0" applyAlignment="1" applyBorder="1" applyFont="1">
      <alignment readingOrder="0" shrinkToFit="0" vertical="center" wrapText="0"/>
    </xf>
    <xf borderId="4" fillId="5" fontId="11" numFmtId="0" xfId="0" applyAlignment="1" applyBorder="1" applyFont="1">
      <alignment horizontal="right" readingOrder="0" shrinkToFit="0" vertical="center" wrapText="0"/>
    </xf>
    <xf borderId="0" fillId="0" fontId="3" numFmtId="0" xfId="0" applyAlignment="1" applyFont="1">
      <alignment readingOrder="0" shrinkToFit="0" vertical="center" wrapText="1"/>
    </xf>
    <xf borderId="2" fillId="5" fontId="7" numFmtId="0" xfId="0" applyAlignment="1" applyBorder="1" applyFont="1">
      <alignment horizontal="right" shrinkToFit="0" vertical="center" wrapText="0"/>
    </xf>
    <xf borderId="4" fillId="4" fontId="7" numFmtId="0" xfId="0" applyAlignment="1" applyBorder="1" applyFont="1">
      <alignment horizontal="right" shrinkToFit="0" vertical="center" wrapText="0"/>
    </xf>
    <xf borderId="4" fillId="4" fontId="8" numFmtId="0" xfId="0" applyAlignment="1" applyBorder="1" applyFont="1">
      <alignment shrinkToFit="0" vertical="center" wrapText="1"/>
    </xf>
    <xf borderId="0" fillId="0" fontId="3" numFmtId="0" xfId="0" applyAlignment="1" applyFont="1">
      <alignment shrinkToFit="0" vertical="center" wrapText="0"/>
    </xf>
    <xf borderId="2" fillId="5" fontId="8" numFmtId="0" xfId="0" applyAlignment="1" applyBorder="1" applyFont="1">
      <alignment shrinkToFit="0" vertical="center" wrapText="1"/>
    </xf>
    <xf borderId="3" fillId="5" fontId="12" numFmtId="0" xfId="0" applyAlignment="1" applyBorder="1" applyFont="1">
      <alignment shrinkToFit="0" vertical="center" wrapText="1"/>
    </xf>
    <xf borderId="4" fillId="4" fontId="6" numFmtId="0" xfId="0" applyAlignment="1" applyBorder="1" applyFont="1">
      <alignment readingOrder="0" shrinkToFit="0" vertical="center" wrapText="1"/>
    </xf>
    <xf borderId="2" fillId="4" fontId="11" numFmtId="0" xfId="0" applyAlignment="1" applyBorder="1" applyFont="1">
      <alignment horizontal="right" shrinkToFit="0" vertical="center" wrapText="0"/>
    </xf>
    <xf borderId="4" fillId="5" fontId="13" numFmtId="0" xfId="0" applyAlignment="1" applyBorder="1" applyFont="1">
      <alignment horizontal="right" readingOrder="0" shrinkToFit="0" vertical="center" wrapText="0"/>
    </xf>
    <xf borderId="2" fillId="4" fontId="8" numFmtId="0" xfId="0" applyAlignment="1" applyBorder="1" applyFont="1">
      <alignment shrinkToFit="0" vertical="center" wrapText="1"/>
    </xf>
    <xf borderId="4" fillId="4" fontId="13" numFmtId="0" xfId="0" applyAlignment="1" applyBorder="1" applyFont="1">
      <alignment horizontal="right" readingOrder="0" shrinkToFit="0" vertical="center" wrapText="0"/>
    </xf>
    <xf borderId="0" fillId="5" fontId="11" numFmtId="0" xfId="0" applyAlignment="1" applyFont="1">
      <alignment horizontal="right" readingOrder="0" shrinkToFit="0" vertical="center" wrapText="0"/>
    </xf>
    <xf borderId="4" fillId="5" fontId="14" numFmtId="0" xfId="0" applyAlignment="1" applyBorder="1" applyFont="1">
      <alignment readingOrder="0" shrinkToFit="0" vertical="center" wrapText="0"/>
    </xf>
    <xf borderId="4" fillId="5" fontId="15" numFmtId="0" xfId="0" applyAlignment="1" applyBorder="1" applyFont="1">
      <alignment horizontal="right" readingOrder="0" shrinkToFit="0" vertical="center" wrapText="0"/>
    </xf>
    <xf borderId="4" fillId="5" fontId="6" numFmtId="0" xfId="0" applyAlignment="1" applyBorder="1" applyFont="1">
      <alignment readingOrder="0" shrinkToFit="0" vertical="center" wrapText="1"/>
    </xf>
    <xf borderId="2" fillId="4" fontId="13" numFmtId="0" xfId="0" applyAlignment="1" applyBorder="1" applyFont="1">
      <alignment horizontal="right" readingOrder="0" shrinkToFit="0" vertical="center" wrapText="0"/>
    </xf>
    <xf borderId="3" fillId="4" fontId="6" numFmtId="0" xfId="0" applyAlignment="1" applyBorder="1" applyFont="1">
      <alignment readingOrder="0" shrinkToFit="0" vertical="center" wrapText="1"/>
    </xf>
    <xf borderId="0" fillId="5" fontId="9" numFmtId="0" xfId="0" applyAlignment="1" applyFont="1">
      <alignment horizontal="right" readingOrder="0" shrinkToFit="0" vertical="center" wrapText="0"/>
    </xf>
    <xf borderId="0" fillId="5" fontId="6" numFmtId="49" xfId="0" applyAlignment="1" applyFont="1" applyNumberFormat="1">
      <alignment shrinkToFit="0" vertical="center" wrapText="1"/>
    </xf>
    <xf borderId="0" fillId="5" fontId="8" numFmtId="0" xfId="0" applyAlignment="1" applyFont="1">
      <alignment shrinkToFit="0" vertical="center" wrapText="1"/>
    </xf>
    <xf borderId="0" fillId="5" fontId="6" numFmtId="0" xfId="0" applyAlignment="1" applyFont="1">
      <alignment shrinkToFit="0" vertical="center" wrapText="1"/>
    </xf>
    <xf borderId="6" fillId="5" fontId="6" numFmtId="0" xfId="0" applyAlignment="1" applyBorder="1" applyFont="1">
      <alignment shrinkToFit="0" vertical="center" wrapText="1"/>
    </xf>
    <xf borderId="2" fillId="5" fontId="14" numFmtId="0" xfId="0" applyAlignment="1" applyBorder="1" applyFont="1">
      <alignment shrinkToFit="0" vertical="center" wrapText="0"/>
    </xf>
    <xf borderId="2" fillId="5" fontId="15" numFmtId="0" xfId="0" applyAlignment="1" applyBorder="1" applyFont="1">
      <alignment horizontal="right" shrinkToFit="0" vertical="center" wrapText="0"/>
    </xf>
    <xf borderId="7" fillId="3" fontId="1" numFmtId="0" xfId="0" applyAlignment="1" applyBorder="1" applyFont="1">
      <alignment readingOrder="0"/>
    </xf>
    <xf borderId="8" fillId="3" fontId="16" numFmtId="0" xfId="0" applyAlignment="1" applyBorder="1" applyFont="1">
      <alignment horizontal="left" readingOrder="0" shrinkToFit="0" wrapText="1"/>
    </xf>
    <xf borderId="9" fillId="3" fontId="16" numFmtId="0" xfId="0" applyAlignment="1" applyBorder="1" applyFont="1">
      <alignment horizontal="left" readingOrder="0" shrinkToFit="0" wrapText="1"/>
    </xf>
    <xf borderId="0" fillId="0" fontId="1" numFmtId="0" xfId="0" applyAlignment="1" applyFont="1">
      <alignment readingOrder="0"/>
    </xf>
    <xf borderId="10" fillId="0" fontId="0" numFmtId="0" xfId="0" applyAlignment="1" applyBorder="1" applyFont="1">
      <alignment readingOrder="0"/>
    </xf>
    <xf borderId="0" fillId="0" fontId="17" numFmtId="0" xfId="0" applyFont="1"/>
    <xf borderId="0" fillId="4" fontId="18" numFmtId="0" xfId="0" applyFont="1"/>
    <xf borderId="6" fillId="0" fontId="17" numFmtId="0" xfId="0" applyBorder="1" applyFont="1"/>
    <xf borderId="10" fillId="0" fontId="0" numFmtId="0" xfId="0" applyAlignment="1" applyBorder="1" applyFont="1">
      <alignment horizontal="left" readingOrder="0" shrinkToFit="0" wrapText="1"/>
    </xf>
    <xf borderId="6" fillId="4" fontId="18" numFmtId="0" xfId="0" applyBorder="1" applyFont="1"/>
    <xf borderId="0" fillId="4" fontId="19" numFmtId="0" xfId="0" applyFont="1"/>
    <xf borderId="6" fillId="4" fontId="20" numFmtId="0" xfId="0" applyAlignment="1" applyBorder="1" applyFont="1">
      <alignment readingOrder="0" shrinkToFit="0" wrapText="1"/>
    </xf>
    <xf borderId="11" fillId="0" fontId="1" numFmtId="0" xfId="0" applyAlignment="1" applyBorder="1" applyFont="1">
      <alignment readingOrder="0"/>
    </xf>
    <xf borderId="12" fillId="0" fontId="17" numFmtId="0" xfId="0" applyBorder="1" applyFont="1"/>
    <xf borderId="13" fillId="0" fontId="17" numFmtId="0" xfId="0" applyBorder="1" applyFont="1"/>
    <xf borderId="0" fillId="0" fontId="5" numFmtId="0" xfId="0" applyAlignment="1" applyFont="1">
      <alignment vertical="bottom"/>
    </xf>
    <xf borderId="0" fillId="0" fontId="5" numFmtId="0" xfId="0" applyAlignment="1" applyFont="1">
      <alignment readingOrder="0" vertical="bottom"/>
    </xf>
    <xf borderId="0" fillId="0" fontId="4" numFmtId="0" xfId="0" applyAlignment="1" applyFont="1">
      <alignment horizontal="center" readingOrder="0"/>
    </xf>
    <xf borderId="0" fillId="3" fontId="1" numFmtId="0" xfId="0" applyAlignment="1" applyFont="1">
      <alignment horizontal="center" readingOrder="0"/>
    </xf>
    <xf borderId="0" fillId="4" fontId="19" numFmtId="0" xfId="0" applyAlignment="1" applyFont="1">
      <alignment horizontal="center"/>
    </xf>
    <xf borderId="0" fillId="0" fontId="3" numFmtId="0" xfId="0" applyAlignment="1" applyFont="1">
      <alignment horizontal="center"/>
    </xf>
    <xf borderId="0" fillId="0" fontId="3" numFmtId="0" xfId="0" applyFont="1"/>
    <xf borderId="7" fillId="6" fontId="5" numFmtId="0" xfId="0" applyAlignment="1" applyBorder="1" applyFill="1" applyFont="1">
      <alignment readingOrder="0" vertical="bottom"/>
    </xf>
    <xf borderId="8" fillId="0" fontId="21" numFmtId="0" xfId="0" applyBorder="1" applyFont="1"/>
    <xf borderId="9" fillId="0" fontId="21" numFmtId="0" xfId="0" applyBorder="1" applyFont="1"/>
    <xf borderId="0" fillId="0" fontId="22" numFmtId="0" xfId="0" applyAlignment="1" applyFont="1">
      <alignment readingOrder="0" shrinkToFit="0" vertical="top" wrapText="1"/>
    </xf>
  </cellXfs>
  <cellStyles count="1">
    <cellStyle xfId="0" name="Normal" builtinId="0"/>
  </cellStyles>
  <dxfs count="5">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
      <border>
        <left style="thin">
          <color rgb="FF5B3F86"/>
        </left>
        <right style="thin">
          <color rgb="FF5B3F86"/>
        </right>
        <top style="thin">
          <color rgb="FF5B3F86"/>
        </top>
        <bottom style="thin">
          <color rgb="FF5B3F86"/>
        </bottom>
      </border>
    </dxf>
  </dxfs>
  <tableStyles count="1">
    <tableStyle count="4" pivot="0" name="Group Heuristic Evaluation-style">
      <tableStyleElement dxfId="1" type="headerRow"/>
      <tableStyleElement dxfId="2" type="firstRowStripe"/>
      <tableStyleElement dxfId="3" type="secondRowStripe"/>
      <tableStyleElement dxfId="4" size="0" type="wholeTabl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40" Type="http://schemas.openxmlformats.org/officeDocument/2006/relationships/image" Target="../media/image41.png"/><Relationship Id="rId20" Type="http://schemas.openxmlformats.org/officeDocument/2006/relationships/image" Target="../media/image17.png"/><Relationship Id="rId42" Type="http://schemas.openxmlformats.org/officeDocument/2006/relationships/image" Target="../media/image47.png"/><Relationship Id="rId41" Type="http://schemas.openxmlformats.org/officeDocument/2006/relationships/image" Target="../media/image39.png"/><Relationship Id="rId22" Type="http://schemas.openxmlformats.org/officeDocument/2006/relationships/image" Target="../media/image25.png"/><Relationship Id="rId21" Type="http://schemas.openxmlformats.org/officeDocument/2006/relationships/image" Target="../media/image5.png"/><Relationship Id="rId24" Type="http://schemas.openxmlformats.org/officeDocument/2006/relationships/image" Target="../media/image28.png"/><Relationship Id="rId23" Type="http://schemas.openxmlformats.org/officeDocument/2006/relationships/image" Target="../media/image13.png"/><Relationship Id="rId1" Type="http://schemas.openxmlformats.org/officeDocument/2006/relationships/image" Target="../media/image4.png"/><Relationship Id="rId2" Type="http://schemas.openxmlformats.org/officeDocument/2006/relationships/image" Target="../media/image24.png"/><Relationship Id="rId3" Type="http://schemas.openxmlformats.org/officeDocument/2006/relationships/image" Target="../media/image12.png"/><Relationship Id="rId4" Type="http://schemas.openxmlformats.org/officeDocument/2006/relationships/image" Target="../media/image10.png"/><Relationship Id="rId9" Type="http://schemas.openxmlformats.org/officeDocument/2006/relationships/image" Target="../media/image26.png"/><Relationship Id="rId26" Type="http://schemas.openxmlformats.org/officeDocument/2006/relationships/image" Target="../media/image33.png"/><Relationship Id="rId25" Type="http://schemas.openxmlformats.org/officeDocument/2006/relationships/image" Target="../media/image15.png"/><Relationship Id="rId28" Type="http://schemas.openxmlformats.org/officeDocument/2006/relationships/image" Target="../media/image34.png"/><Relationship Id="rId27" Type="http://schemas.openxmlformats.org/officeDocument/2006/relationships/image" Target="../media/image22.png"/><Relationship Id="rId5" Type="http://schemas.openxmlformats.org/officeDocument/2006/relationships/image" Target="../media/image7.png"/><Relationship Id="rId6" Type="http://schemas.openxmlformats.org/officeDocument/2006/relationships/image" Target="../media/image6.png"/><Relationship Id="rId29" Type="http://schemas.openxmlformats.org/officeDocument/2006/relationships/image" Target="../media/image38.png"/><Relationship Id="rId7" Type="http://schemas.openxmlformats.org/officeDocument/2006/relationships/image" Target="../media/image9.png"/><Relationship Id="rId8" Type="http://schemas.openxmlformats.org/officeDocument/2006/relationships/image" Target="../media/image21.png"/><Relationship Id="rId31" Type="http://schemas.openxmlformats.org/officeDocument/2006/relationships/image" Target="../media/image30.png"/><Relationship Id="rId30" Type="http://schemas.openxmlformats.org/officeDocument/2006/relationships/image" Target="../media/image43.png"/><Relationship Id="rId11" Type="http://schemas.openxmlformats.org/officeDocument/2006/relationships/image" Target="../media/image20.png"/><Relationship Id="rId33" Type="http://schemas.openxmlformats.org/officeDocument/2006/relationships/image" Target="../media/image31.png"/><Relationship Id="rId10" Type="http://schemas.openxmlformats.org/officeDocument/2006/relationships/image" Target="../media/image2.png"/><Relationship Id="rId32" Type="http://schemas.openxmlformats.org/officeDocument/2006/relationships/image" Target="../media/image23.png"/><Relationship Id="rId13" Type="http://schemas.openxmlformats.org/officeDocument/2006/relationships/image" Target="../media/image16.png"/><Relationship Id="rId35" Type="http://schemas.openxmlformats.org/officeDocument/2006/relationships/image" Target="../media/image27.png"/><Relationship Id="rId12" Type="http://schemas.openxmlformats.org/officeDocument/2006/relationships/image" Target="../media/image29.png"/><Relationship Id="rId34" Type="http://schemas.openxmlformats.org/officeDocument/2006/relationships/image" Target="../media/image37.png"/><Relationship Id="rId15" Type="http://schemas.openxmlformats.org/officeDocument/2006/relationships/image" Target="../media/image14.png"/><Relationship Id="rId37" Type="http://schemas.openxmlformats.org/officeDocument/2006/relationships/image" Target="../media/image32.png"/><Relationship Id="rId14" Type="http://schemas.openxmlformats.org/officeDocument/2006/relationships/image" Target="../media/image45.png"/><Relationship Id="rId36" Type="http://schemas.openxmlformats.org/officeDocument/2006/relationships/image" Target="../media/image46.png"/><Relationship Id="rId17" Type="http://schemas.openxmlformats.org/officeDocument/2006/relationships/image" Target="../media/image3.png"/><Relationship Id="rId39" Type="http://schemas.openxmlformats.org/officeDocument/2006/relationships/image" Target="../media/image42.png"/><Relationship Id="rId16" Type="http://schemas.openxmlformats.org/officeDocument/2006/relationships/image" Target="../media/image8.png"/><Relationship Id="rId38" Type="http://schemas.openxmlformats.org/officeDocument/2006/relationships/image" Target="../media/image36.png"/><Relationship Id="rId19" Type="http://schemas.openxmlformats.org/officeDocument/2006/relationships/image" Target="../media/image11.png"/><Relationship Id="rId18"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10</xdr:row>
      <xdr:rowOff>0</xdr:rowOff>
    </xdr:from>
    <xdr:ext cx="1104900" cy="2076450"/>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5</xdr:col>
      <xdr:colOff>0</xdr:colOff>
      <xdr:row>11</xdr:row>
      <xdr:rowOff>0</xdr:rowOff>
    </xdr:from>
    <xdr:ext cx="2162175" cy="2219325"/>
    <xdr:pic>
      <xdr:nvPicPr>
        <xdr:cNvPr id="0" name="image24.png"/>
        <xdr:cNvPicPr preferRelativeResize="0"/>
      </xdr:nvPicPr>
      <xdr:blipFill>
        <a:blip cstate="print" r:embed="rId2"/>
        <a:stretch>
          <a:fillRect/>
        </a:stretch>
      </xdr:blipFill>
      <xdr:spPr>
        <a:prstGeom prst="rect">
          <a:avLst/>
        </a:prstGeom>
        <a:noFill/>
      </xdr:spPr>
    </xdr:pic>
    <xdr:clientData fLocksWithSheet="0"/>
  </xdr:oneCellAnchor>
  <xdr:oneCellAnchor>
    <xdr:from>
      <xdr:col>5</xdr:col>
      <xdr:colOff>0</xdr:colOff>
      <xdr:row>12</xdr:row>
      <xdr:rowOff>0</xdr:rowOff>
    </xdr:from>
    <xdr:ext cx="95250" cy="200025"/>
    <xdr:pic>
      <xdr:nvPicPr>
        <xdr:cNvPr id="0" name="image12.png"/>
        <xdr:cNvPicPr preferRelativeResize="0"/>
      </xdr:nvPicPr>
      <xdr:blipFill>
        <a:blip cstate="print" r:embed="rId3"/>
        <a:stretch>
          <a:fillRect/>
        </a:stretch>
      </xdr:blipFill>
      <xdr:spPr>
        <a:prstGeom prst="rect">
          <a:avLst/>
        </a:prstGeom>
        <a:noFill/>
      </xdr:spPr>
    </xdr:pic>
    <xdr:clientData fLocksWithSheet="0"/>
  </xdr:oneCellAnchor>
  <xdr:oneCellAnchor>
    <xdr:from>
      <xdr:col>7</xdr:col>
      <xdr:colOff>0</xdr:colOff>
      <xdr:row>12</xdr:row>
      <xdr:rowOff>0</xdr:rowOff>
    </xdr:from>
    <xdr:ext cx="142875" cy="200025"/>
    <xdr:pic>
      <xdr:nvPicPr>
        <xdr:cNvPr id="0" name="image10.png"/>
        <xdr:cNvPicPr preferRelativeResize="0"/>
      </xdr:nvPicPr>
      <xdr:blipFill>
        <a:blip cstate="print" r:embed="rId4"/>
        <a:stretch>
          <a:fillRect/>
        </a:stretch>
      </xdr:blipFill>
      <xdr:spPr>
        <a:prstGeom prst="rect">
          <a:avLst/>
        </a:prstGeom>
        <a:noFill/>
      </xdr:spPr>
    </xdr:pic>
    <xdr:clientData fLocksWithSheet="0"/>
  </xdr:oneCellAnchor>
  <xdr:oneCellAnchor>
    <xdr:from>
      <xdr:col>5</xdr:col>
      <xdr:colOff>0</xdr:colOff>
      <xdr:row>13</xdr:row>
      <xdr:rowOff>0</xdr:rowOff>
    </xdr:from>
    <xdr:ext cx="438150" cy="200025"/>
    <xdr:pic>
      <xdr:nvPicPr>
        <xdr:cNvPr id="0" name="image7.png"/>
        <xdr:cNvPicPr preferRelativeResize="0"/>
      </xdr:nvPicPr>
      <xdr:blipFill>
        <a:blip cstate="print" r:embed="rId5"/>
        <a:stretch>
          <a:fillRect/>
        </a:stretch>
      </xdr:blipFill>
      <xdr:spPr>
        <a:prstGeom prst="rect">
          <a:avLst/>
        </a:prstGeom>
        <a:noFill/>
      </xdr:spPr>
    </xdr:pic>
    <xdr:clientData fLocksWithSheet="0"/>
  </xdr:oneCellAnchor>
  <xdr:oneCellAnchor>
    <xdr:from>
      <xdr:col>5</xdr:col>
      <xdr:colOff>0</xdr:colOff>
      <xdr:row>14</xdr:row>
      <xdr:rowOff>0</xdr:rowOff>
    </xdr:from>
    <xdr:ext cx="2114550" cy="1285875"/>
    <xdr:pic>
      <xdr:nvPicPr>
        <xdr:cNvPr id="0" name="image6.png"/>
        <xdr:cNvPicPr preferRelativeResize="0"/>
      </xdr:nvPicPr>
      <xdr:blipFill>
        <a:blip cstate="print" r:embed="rId6"/>
        <a:stretch>
          <a:fillRect/>
        </a:stretch>
      </xdr:blipFill>
      <xdr:spPr>
        <a:prstGeom prst="rect">
          <a:avLst/>
        </a:prstGeom>
        <a:noFill/>
      </xdr:spPr>
    </xdr:pic>
    <xdr:clientData fLocksWithSheet="0"/>
  </xdr:oneCellAnchor>
  <xdr:oneCellAnchor>
    <xdr:from>
      <xdr:col>5</xdr:col>
      <xdr:colOff>0</xdr:colOff>
      <xdr:row>15</xdr:row>
      <xdr:rowOff>0</xdr:rowOff>
    </xdr:from>
    <xdr:ext cx="285750" cy="200025"/>
    <xdr:pic>
      <xdr:nvPicPr>
        <xdr:cNvPr id="0" name="image9.png"/>
        <xdr:cNvPicPr preferRelativeResize="0"/>
      </xdr:nvPicPr>
      <xdr:blipFill>
        <a:blip cstate="print" r:embed="rId7"/>
        <a:stretch>
          <a:fillRect/>
        </a:stretch>
      </xdr:blipFill>
      <xdr:spPr>
        <a:prstGeom prst="rect">
          <a:avLst/>
        </a:prstGeom>
        <a:noFill/>
      </xdr:spPr>
    </xdr:pic>
    <xdr:clientData fLocksWithSheet="0"/>
  </xdr:oneCellAnchor>
  <xdr:oneCellAnchor>
    <xdr:from>
      <xdr:col>5</xdr:col>
      <xdr:colOff>0</xdr:colOff>
      <xdr:row>16</xdr:row>
      <xdr:rowOff>0</xdr:rowOff>
    </xdr:from>
    <xdr:ext cx="1685925" cy="3162300"/>
    <xdr:pic>
      <xdr:nvPicPr>
        <xdr:cNvPr id="0" name="image21.png"/>
        <xdr:cNvPicPr preferRelativeResize="0"/>
      </xdr:nvPicPr>
      <xdr:blipFill>
        <a:blip cstate="print" r:embed="rId8"/>
        <a:stretch>
          <a:fillRect/>
        </a:stretch>
      </xdr:blipFill>
      <xdr:spPr>
        <a:prstGeom prst="rect">
          <a:avLst/>
        </a:prstGeom>
        <a:noFill/>
      </xdr:spPr>
    </xdr:pic>
    <xdr:clientData fLocksWithSheet="0"/>
  </xdr:oneCellAnchor>
  <xdr:oneCellAnchor>
    <xdr:from>
      <xdr:col>5</xdr:col>
      <xdr:colOff>0</xdr:colOff>
      <xdr:row>17</xdr:row>
      <xdr:rowOff>0</xdr:rowOff>
    </xdr:from>
    <xdr:ext cx="1476375" cy="2809875"/>
    <xdr:pic>
      <xdr:nvPicPr>
        <xdr:cNvPr id="0" name="image26.png"/>
        <xdr:cNvPicPr preferRelativeResize="0"/>
      </xdr:nvPicPr>
      <xdr:blipFill>
        <a:blip cstate="print" r:embed="rId9"/>
        <a:stretch>
          <a:fillRect/>
        </a:stretch>
      </xdr:blipFill>
      <xdr:spPr>
        <a:prstGeom prst="rect">
          <a:avLst/>
        </a:prstGeom>
        <a:noFill/>
      </xdr:spPr>
    </xdr:pic>
    <xdr:clientData fLocksWithSheet="0"/>
  </xdr:oneCellAnchor>
  <xdr:oneCellAnchor>
    <xdr:from>
      <xdr:col>5</xdr:col>
      <xdr:colOff>0</xdr:colOff>
      <xdr:row>18</xdr:row>
      <xdr:rowOff>0</xdr:rowOff>
    </xdr:from>
    <xdr:ext cx="276225" cy="200025"/>
    <xdr:pic>
      <xdr:nvPicPr>
        <xdr:cNvPr id="0" name="image2.png"/>
        <xdr:cNvPicPr preferRelativeResize="0"/>
      </xdr:nvPicPr>
      <xdr:blipFill>
        <a:blip cstate="print" r:embed="rId10"/>
        <a:stretch>
          <a:fillRect/>
        </a:stretch>
      </xdr:blipFill>
      <xdr:spPr>
        <a:prstGeom prst="rect">
          <a:avLst/>
        </a:prstGeom>
        <a:noFill/>
      </xdr:spPr>
    </xdr:pic>
    <xdr:clientData fLocksWithSheet="0"/>
  </xdr:oneCellAnchor>
  <xdr:oneCellAnchor>
    <xdr:from>
      <xdr:col>5</xdr:col>
      <xdr:colOff>0</xdr:colOff>
      <xdr:row>19</xdr:row>
      <xdr:rowOff>0</xdr:rowOff>
    </xdr:from>
    <xdr:ext cx="904875" cy="1838325"/>
    <xdr:pic>
      <xdr:nvPicPr>
        <xdr:cNvPr id="0" name="image20.png"/>
        <xdr:cNvPicPr preferRelativeResize="0"/>
      </xdr:nvPicPr>
      <xdr:blipFill>
        <a:blip cstate="print" r:embed="rId11"/>
        <a:stretch>
          <a:fillRect/>
        </a:stretch>
      </xdr:blipFill>
      <xdr:spPr>
        <a:prstGeom prst="rect">
          <a:avLst/>
        </a:prstGeom>
        <a:noFill/>
      </xdr:spPr>
    </xdr:pic>
    <xdr:clientData fLocksWithSheet="0"/>
  </xdr:oneCellAnchor>
  <xdr:oneCellAnchor>
    <xdr:from>
      <xdr:col>5</xdr:col>
      <xdr:colOff>0</xdr:colOff>
      <xdr:row>20</xdr:row>
      <xdr:rowOff>0</xdr:rowOff>
    </xdr:from>
    <xdr:ext cx="95250" cy="200025"/>
    <xdr:pic>
      <xdr:nvPicPr>
        <xdr:cNvPr id="0" name="image19.png"/>
        <xdr:cNvPicPr preferRelativeResize="0"/>
      </xdr:nvPicPr>
      <xdr:blipFill>
        <a:blip cstate="print" r:embed="rId11"/>
        <a:stretch>
          <a:fillRect/>
        </a:stretch>
      </xdr:blipFill>
      <xdr:spPr>
        <a:prstGeom prst="rect">
          <a:avLst/>
        </a:prstGeom>
        <a:noFill/>
      </xdr:spPr>
    </xdr:pic>
    <xdr:clientData fLocksWithSheet="0"/>
  </xdr:oneCellAnchor>
  <xdr:oneCellAnchor>
    <xdr:from>
      <xdr:col>5</xdr:col>
      <xdr:colOff>0</xdr:colOff>
      <xdr:row>21</xdr:row>
      <xdr:rowOff>0</xdr:rowOff>
    </xdr:from>
    <xdr:ext cx="104775" cy="200025"/>
    <xdr:pic>
      <xdr:nvPicPr>
        <xdr:cNvPr id="0" name="image26.png"/>
        <xdr:cNvPicPr preferRelativeResize="0"/>
      </xdr:nvPicPr>
      <xdr:blipFill>
        <a:blip cstate="print" r:embed="rId9"/>
        <a:stretch>
          <a:fillRect/>
        </a:stretch>
      </xdr:blipFill>
      <xdr:spPr>
        <a:prstGeom prst="rect">
          <a:avLst/>
        </a:prstGeom>
        <a:noFill/>
      </xdr:spPr>
    </xdr:pic>
    <xdr:clientData fLocksWithSheet="0"/>
  </xdr:oneCellAnchor>
  <xdr:oneCellAnchor>
    <xdr:from>
      <xdr:col>5</xdr:col>
      <xdr:colOff>0</xdr:colOff>
      <xdr:row>22</xdr:row>
      <xdr:rowOff>0</xdr:rowOff>
    </xdr:from>
    <xdr:ext cx="1390650" cy="2581275"/>
    <xdr:pic>
      <xdr:nvPicPr>
        <xdr:cNvPr id="0" name="image29.png"/>
        <xdr:cNvPicPr preferRelativeResize="0"/>
      </xdr:nvPicPr>
      <xdr:blipFill>
        <a:blip cstate="print" r:embed="rId12"/>
        <a:stretch>
          <a:fillRect/>
        </a:stretch>
      </xdr:blipFill>
      <xdr:spPr>
        <a:prstGeom prst="rect">
          <a:avLst/>
        </a:prstGeom>
        <a:noFill/>
      </xdr:spPr>
    </xdr:pic>
    <xdr:clientData fLocksWithSheet="0"/>
  </xdr:oneCellAnchor>
  <xdr:oneCellAnchor>
    <xdr:from>
      <xdr:col>7</xdr:col>
      <xdr:colOff>0</xdr:colOff>
      <xdr:row>22</xdr:row>
      <xdr:rowOff>0</xdr:rowOff>
    </xdr:from>
    <xdr:ext cx="1247775" cy="2581275"/>
    <xdr:pic>
      <xdr:nvPicPr>
        <xdr:cNvPr id="0" name="image16.png"/>
        <xdr:cNvPicPr preferRelativeResize="0"/>
      </xdr:nvPicPr>
      <xdr:blipFill>
        <a:blip cstate="print" r:embed="rId13"/>
        <a:stretch>
          <a:fillRect/>
        </a:stretch>
      </xdr:blipFill>
      <xdr:spPr>
        <a:prstGeom prst="rect">
          <a:avLst/>
        </a:prstGeom>
        <a:noFill/>
      </xdr:spPr>
    </xdr:pic>
    <xdr:clientData fLocksWithSheet="0"/>
  </xdr:oneCellAnchor>
  <xdr:oneCellAnchor>
    <xdr:from>
      <xdr:col>5</xdr:col>
      <xdr:colOff>0</xdr:colOff>
      <xdr:row>23</xdr:row>
      <xdr:rowOff>0</xdr:rowOff>
    </xdr:from>
    <xdr:ext cx="1104900" cy="2228850"/>
    <xdr:pic>
      <xdr:nvPicPr>
        <xdr:cNvPr id="0" name="image45.png"/>
        <xdr:cNvPicPr preferRelativeResize="0"/>
      </xdr:nvPicPr>
      <xdr:blipFill>
        <a:blip cstate="print" r:embed="rId14"/>
        <a:stretch>
          <a:fillRect/>
        </a:stretch>
      </xdr:blipFill>
      <xdr:spPr>
        <a:prstGeom prst="rect">
          <a:avLst/>
        </a:prstGeom>
        <a:noFill/>
      </xdr:spPr>
    </xdr:pic>
    <xdr:clientData fLocksWithSheet="0"/>
  </xdr:oneCellAnchor>
  <xdr:oneCellAnchor>
    <xdr:from>
      <xdr:col>5</xdr:col>
      <xdr:colOff>0</xdr:colOff>
      <xdr:row>24</xdr:row>
      <xdr:rowOff>0</xdr:rowOff>
    </xdr:from>
    <xdr:ext cx="1066800" cy="2219325"/>
    <xdr:pic>
      <xdr:nvPicPr>
        <xdr:cNvPr id="0" name="image14.png"/>
        <xdr:cNvPicPr preferRelativeResize="0"/>
      </xdr:nvPicPr>
      <xdr:blipFill>
        <a:blip cstate="print" r:embed="rId15"/>
        <a:stretch>
          <a:fillRect/>
        </a:stretch>
      </xdr:blipFill>
      <xdr:spPr>
        <a:prstGeom prst="rect">
          <a:avLst/>
        </a:prstGeom>
        <a:noFill/>
      </xdr:spPr>
    </xdr:pic>
    <xdr:clientData fLocksWithSheet="0"/>
  </xdr:oneCellAnchor>
  <xdr:oneCellAnchor>
    <xdr:from>
      <xdr:col>5</xdr:col>
      <xdr:colOff>0</xdr:colOff>
      <xdr:row>25</xdr:row>
      <xdr:rowOff>0</xdr:rowOff>
    </xdr:from>
    <xdr:ext cx="304800" cy="200025"/>
    <xdr:pic>
      <xdr:nvPicPr>
        <xdr:cNvPr id="0" name="image8.png"/>
        <xdr:cNvPicPr preferRelativeResize="0"/>
      </xdr:nvPicPr>
      <xdr:blipFill>
        <a:blip cstate="print" r:embed="rId16"/>
        <a:stretch>
          <a:fillRect/>
        </a:stretch>
      </xdr:blipFill>
      <xdr:spPr>
        <a:prstGeom prst="rect">
          <a:avLst/>
        </a:prstGeom>
        <a:noFill/>
      </xdr:spPr>
    </xdr:pic>
    <xdr:clientData fLocksWithSheet="0"/>
  </xdr:oneCellAnchor>
  <xdr:oneCellAnchor>
    <xdr:from>
      <xdr:col>5</xdr:col>
      <xdr:colOff>0</xdr:colOff>
      <xdr:row>26</xdr:row>
      <xdr:rowOff>0</xdr:rowOff>
    </xdr:from>
    <xdr:ext cx="266700" cy="200025"/>
    <xdr:pic>
      <xdr:nvPicPr>
        <xdr:cNvPr id="0" name="image3.png"/>
        <xdr:cNvPicPr preferRelativeResize="0"/>
      </xdr:nvPicPr>
      <xdr:blipFill>
        <a:blip cstate="print" r:embed="rId17"/>
        <a:stretch>
          <a:fillRect/>
        </a:stretch>
      </xdr:blipFill>
      <xdr:spPr>
        <a:prstGeom prst="rect">
          <a:avLst/>
        </a:prstGeom>
        <a:noFill/>
      </xdr:spPr>
    </xdr:pic>
    <xdr:clientData fLocksWithSheet="0"/>
  </xdr:oneCellAnchor>
  <xdr:oneCellAnchor>
    <xdr:from>
      <xdr:col>5</xdr:col>
      <xdr:colOff>0</xdr:colOff>
      <xdr:row>27</xdr:row>
      <xdr:rowOff>0</xdr:rowOff>
    </xdr:from>
    <xdr:ext cx="409575" cy="200025"/>
    <xdr:pic>
      <xdr:nvPicPr>
        <xdr:cNvPr id="0" name="image1.png"/>
        <xdr:cNvPicPr preferRelativeResize="0"/>
      </xdr:nvPicPr>
      <xdr:blipFill>
        <a:blip cstate="print" r:embed="rId18"/>
        <a:stretch>
          <a:fillRect/>
        </a:stretch>
      </xdr:blipFill>
      <xdr:spPr>
        <a:prstGeom prst="rect">
          <a:avLst/>
        </a:prstGeom>
        <a:noFill/>
      </xdr:spPr>
    </xdr:pic>
    <xdr:clientData fLocksWithSheet="0"/>
  </xdr:oneCellAnchor>
  <xdr:oneCellAnchor>
    <xdr:from>
      <xdr:col>5</xdr:col>
      <xdr:colOff>0</xdr:colOff>
      <xdr:row>28</xdr:row>
      <xdr:rowOff>0</xdr:rowOff>
    </xdr:from>
    <xdr:ext cx="304800" cy="200025"/>
    <xdr:pic>
      <xdr:nvPicPr>
        <xdr:cNvPr id="0" name="image8.png"/>
        <xdr:cNvPicPr preferRelativeResize="0"/>
      </xdr:nvPicPr>
      <xdr:blipFill>
        <a:blip cstate="print" r:embed="rId16"/>
        <a:stretch>
          <a:fillRect/>
        </a:stretch>
      </xdr:blipFill>
      <xdr:spPr>
        <a:prstGeom prst="rect">
          <a:avLst/>
        </a:prstGeom>
        <a:noFill/>
      </xdr:spPr>
    </xdr:pic>
    <xdr:clientData fLocksWithSheet="0"/>
  </xdr:oneCellAnchor>
  <xdr:oneCellAnchor>
    <xdr:from>
      <xdr:col>5</xdr:col>
      <xdr:colOff>0</xdr:colOff>
      <xdr:row>29</xdr:row>
      <xdr:rowOff>0</xdr:rowOff>
    </xdr:from>
    <xdr:ext cx="590550" cy="200025"/>
    <xdr:pic>
      <xdr:nvPicPr>
        <xdr:cNvPr id="0" name="image11.png"/>
        <xdr:cNvPicPr preferRelativeResize="0"/>
      </xdr:nvPicPr>
      <xdr:blipFill>
        <a:blip cstate="print" r:embed="rId19"/>
        <a:stretch>
          <a:fillRect/>
        </a:stretch>
      </xdr:blipFill>
      <xdr:spPr>
        <a:prstGeom prst="rect">
          <a:avLst/>
        </a:prstGeom>
        <a:noFill/>
      </xdr:spPr>
    </xdr:pic>
    <xdr:clientData fLocksWithSheet="0"/>
  </xdr:oneCellAnchor>
  <xdr:oneCellAnchor>
    <xdr:from>
      <xdr:col>5</xdr:col>
      <xdr:colOff>0</xdr:colOff>
      <xdr:row>30</xdr:row>
      <xdr:rowOff>0</xdr:rowOff>
    </xdr:from>
    <xdr:ext cx="1276350" cy="2609850"/>
    <xdr:pic>
      <xdr:nvPicPr>
        <xdr:cNvPr id="0" name="image17.png"/>
        <xdr:cNvPicPr preferRelativeResize="0"/>
      </xdr:nvPicPr>
      <xdr:blipFill>
        <a:blip cstate="print" r:embed="rId20"/>
        <a:stretch>
          <a:fillRect/>
        </a:stretch>
      </xdr:blipFill>
      <xdr:spPr>
        <a:prstGeom prst="rect">
          <a:avLst/>
        </a:prstGeom>
        <a:noFill/>
      </xdr:spPr>
    </xdr:pic>
    <xdr:clientData fLocksWithSheet="0"/>
  </xdr:oneCellAnchor>
  <xdr:oneCellAnchor>
    <xdr:from>
      <xdr:col>5</xdr:col>
      <xdr:colOff>0</xdr:colOff>
      <xdr:row>31</xdr:row>
      <xdr:rowOff>0</xdr:rowOff>
    </xdr:from>
    <xdr:ext cx="276225" cy="200025"/>
    <xdr:pic>
      <xdr:nvPicPr>
        <xdr:cNvPr id="0" name="image5.png"/>
        <xdr:cNvPicPr preferRelativeResize="0"/>
      </xdr:nvPicPr>
      <xdr:blipFill>
        <a:blip cstate="print" r:embed="rId21"/>
        <a:stretch>
          <a:fillRect/>
        </a:stretch>
      </xdr:blipFill>
      <xdr:spPr>
        <a:prstGeom prst="rect">
          <a:avLst/>
        </a:prstGeom>
        <a:noFill/>
      </xdr:spPr>
    </xdr:pic>
    <xdr:clientData fLocksWithSheet="0"/>
  </xdr:oneCellAnchor>
  <xdr:oneCellAnchor>
    <xdr:from>
      <xdr:col>5</xdr:col>
      <xdr:colOff>0</xdr:colOff>
      <xdr:row>32</xdr:row>
      <xdr:rowOff>0</xdr:rowOff>
    </xdr:from>
    <xdr:ext cx="276225" cy="200025"/>
    <xdr:pic>
      <xdr:nvPicPr>
        <xdr:cNvPr id="0" name="image5.png"/>
        <xdr:cNvPicPr preferRelativeResize="0"/>
      </xdr:nvPicPr>
      <xdr:blipFill>
        <a:blip cstate="print" r:embed="rId21"/>
        <a:stretch>
          <a:fillRect/>
        </a:stretch>
      </xdr:blipFill>
      <xdr:spPr>
        <a:prstGeom prst="rect">
          <a:avLst/>
        </a:prstGeom>
        <a:noFill/>
      </xdr:spPr>
    </xdr:pic>
    <xdr:clientData fLocksWithSheet="0"/>
  </xdr:oneCellAnchor>
  <xdr:oneCellAnchor>
    <xdr:from>
      <xdr:col>5</xdr:col>
      <xdr:colOff>0</xdr:colOff>
      <xdr:row>33</xdr:row>
      <xdr:rowOff>0</xdr:rowOff>
    </xdr:from>
    <xdr:ext cx="1371600" cy="2609850"/>
    <xdr:pic>
      <xdr:nvPicPr>
        <xdr:cNvPr id="0" name="image25.png"/>
        <xdr:cNvPicPr preferRelativeResize="0"/>
      </xdr:nvPicPr>
      <xdr:blipFill>
        <a:blip cstate="print" r:embed="rId22"/>
        <a:stretch>
          <a:fillRect/>
        </a:stretch>
      </xdr:blipFill>
      <xdr:spPr>
        <a:prstGeom prst="rect">
          <a:avLst/>
        </a:prstGeom>
        <a:noFill/>
      </xdr:spPr>
    </xdr:pic>
    <xdr:clientData fLocksWithSheet="0"/>
  </xdr:oneCellAnchor>
  <xdr:oneCellAnchor>
    <xdr:from>
      <xdr:col>5</xdr:col>
      <xdr:colOff>0</xdr:colOff>
      <xdr:row>34</xdr:row>
      <xdr:rowOff>0</xdr:rowOff>
    </xdr:from>
    <xdr:ext cx="2638425" cy="1933575"/>
    <xdr:pic>
      <xdr:nvPicPr>
        <xdr:cNvPr id="0" name="image13.png"/>
        <xdr:cNvPicPr preferRelativeResize="0"/>
      </xdr:nvPicPr>
      <xdr:blipFill>
        <a:blip cstate="print" r:embed="rId23"/>
        <a:stretch>
          <a:fillRect/>
        </a:stretch>
      </xdr:blipFill>
      <xdr:spPr>
        <a:prstGeom prst="rect">
          <a:avLst/>
        </a:prstGeom>
        <a:noFill/>
      </xdr:spPr>
    </xdr:pic>
    <xdr:clientData fLocksWithSheet="0"/>
  </xdr:oneCellAnchor>
  <xdr:oneCellAnchor>
    <xdr:from>
      <xdr:col>5</xdr:col>
      <xdr:colOff>0</xdr:colOff>
      <xdr:row>35</xdr:row>
      <xdr:rowOff>0</xdr:rowOff>
    </xdr:from>
    <xdr:ext cx="1352550" cy="2752725"/>
    <xdr:pic>
      <xdr:nvPicPr>
        <xdr:cNvPr id="0" name="image28.png"/>
        <xdr:cNvPicPr preferRelativeResize="0"/>
      </xdr:nvPicPr>
      <xdr:blipFill>
        <a:blip cstate="print" r:embed="rId24"/>
        <a:stretch>
          <a:fillRect/>
        </a:stretch>
      </xdr:blipFill>
      <xdr:spPr>
        <a:prstGeom prst="rect">
          <a:avLst/>
        </a:prstGeom>
        <a:noFill/>
      </xdr:spPr>
    </xdr:pic>
    <xdr:clientData fLocksWithSheet="0"/>
  </xdr:oneCellAnchor>
  <xdr:oneCellAnchor>
    <xdr:from>
      <xdr:col>5</xdr:col>
      <xdr:colOff>0</xdr:colOff>
      <xdr:row>36</xdr:row>
      <xdr:rowOff>0</xdr:rowOff>
    </xdr:from>
    <xdr:ext cx="2114550" cy="1600200"/>
    <xdr:pic>
      <xdr:nvPicPr>
        <xdr:cNvPr id="0" name="image15.png"/>
        <xdr:cNvPicPr preferRelativeResize="0"/>
      </xdr:nvPicPr>
      <xdr:blipFill>
        <a:blip cstate="print" r:embed="rId25"/>
        <a:stretch>
          <a:fillRect/>
        </a:stretch>
      </xdr:blipFill>
      <xdr:spPr>
        <a:prstGeom prst="rect">
          <a:avLst/>
        </a:prstGeom>
        <a:noFill/>
      </xdr:spPr>
    </xdr:pic>
    <xdr:clientData fLocksWithSheet="0"/>
  </xdr:oneCellAnchor>
  <xdr:oneCellAnchor>
    <xdr:from>
      <xdr:col>7</xdr:col>
      <xdr:colOff>0</xdr:colOff>
      <xdr:row>36</xdr:row>
      <xdr:rowOff>0</xdr:rowOff>
    </xdr:from>
    <xdr:ext cx="1533525" cy="1600200"/>
    <xdr:pic>
      <xdr:nvPicPr>
        <xdr:cNvPr id="0" name="image33.png"/>
        <xdr:cNvPicPr preferRelativeResize="0"/>
      </xdr:nvPicPr>
      <xdr:blipFill>
        <a:blip cstate="print" r:embed="rId26"/>
        <a:stretch>
          <a:fillRect/>
        </a:stretch>
      </xdr:blipFill>
      <xdr:spPr>
        <a:prstGeom prst="rect">
          <a:avLst/>
        </a:prstGeom>
        <a:noFill/>
      </xdr:spPr>
    </xdr:pic>
    <xdr:clientData fLocksWithSheet="0"/>
  </xdr:oneCellAnchor>
  <xdr:oneCellAnchor>
    <xdr:from>
      <xdr:col>5</xdr:col>
      <xdr:colOff>0</xdr:colOff>
      <xdr:row>37</xdr:row>
      <xdr:rowOff>0</xdr:rowOff>
    </xdr:from>
    <xdr:ext cx="1866900" cy="2152650"/>
    <xdr:pic>
      <xdr:nvPicPr>
        <xdr:cNvPr id="0" name="image22.png"/>
        <xdr:cNvPicPr preferRelativeResize="0"/>
      </xdr:nvPicPr>
      <xdr:blipFill>
        <a:blip cstate="print" r:embed="rId27"/>
        <a:stretch>
          <a:fillRect/>
        </a:stretch>
      </xdr:blipFill>
      <xdr:spPr>
        <a:prstGeom prst="rect">
          <a:avLst/>
        </a:prstGeom>
        <a:noFill/>
      </xdr:spPr>
    </xdr:pic>
    <xdr:clientData fLocksWithSheet="0"/>
  </xdr:oneCellAnchor>
  <xdr:oneCellAnchor>
    <xdr:from>
      <xdr:col>5</xdr:col>
      <xdr:colOff>0</xdr:colOff>
      <xdr:row>38</xdr:row>
      <xdr:rowOff>0</xdr:rowOff>
    </xdr:from>
    <xdr:ext cx="257175" cy="200025"/>
    <xdr:pic>
      <xdr:nvPicPr>
        <xdr:cNvPr id="0" name="image18.png"/>
        <xdr:cNvPicPr preferRelativeResize="0"/>
      </xdr:nvPicPr>
      <xdr:blipFill>
        <a:blip cstate="print" r:embed="rId25"/>
        <a:stretch>
          <a:fillRect/>
        </a:stretch>
      </xdr:blipFill>
      <xdr:spPr>
        <a:prstGeom prst="rect">
          <a:avLst/>
        </a:prstGeom>
        <a:noFill/>
      </xdr:spPr>
    </xdr:pic>
    <xdr:clientData fLocksWithSheet="0"/>
  </xdr:oneCellAnchor>
  <xdr:oneCellAnchor>
    <xdr:from>
      <xdr:col>5</xdr:col>
      <xdr:colOff>0</xdr:colOff>
      <xdr:row>39</xdr:row>
      <xdr:rowOff>0</xdr:rowOff>
    </xdr:from>
    <xdr:ext cx="285750" cy="200025"/>
    <xdr:pic>
      <xdr:nvPicPr>
        <xdr:cNvPr id="0" name="image34.png"/>
        <xdr:cNvPicPr preferRelativeResize="0"/>
      </xdr:nvPicPr>
      <xdr:blipFill>
        <a:blip cstate="print" r:embed="rId28"/>
        <a:stretch>
          <a:fillRect/>
        </a:stretch>
      </xdr:blipFill>
      <xdr:spPr>
        <a:prstGeom prst="rect">
          <a:avLst/>
        </a:prstGeom>
        <a:noFill/>
      </xdr:spPr>
    </xdr:pic>
    <xdr:clientData fLocksWithSheet="0"/>
  </xdr:oneCellAnchor>
  <xdr:oneCellAnchor>
    <xdr:from>
      <xdr:col>5</xdr:col>
      <xdr:colOff>0</xdr:colOff>
      <xdr:row>40</xdr:row>
      <xdr:rowOff>0</xdr:rowOff>
    </xdr:from>
    <xdr:ext cx="1895475" cy="2181225"/>
    <xdr:pic>
      <xdr:nvPicPr>
        <xdr:cNvPr id="0" name="image22.png"/>
        <xdr:cNvPicPr preferRelativeResize="0"/>
      </xdr:nvPicPr>
      <xdr:blipFill>
        <a:blip cstate="print" r:embed="rId27"/>
        <a:stretch>
          <a:fillRect/>
        </a:stretch>
      </xdr:blipFill>
      <xdr:spPr>
        <a:prstGeom prst="rect">
          <a:avLst/>
        </a:prstGeom>
        <a:noFill/>
      </xdr:spPr>
    </xdr:pic>
    <xdr:clientData fLocksWithSheet="0"/>
  </xdr:oneCellAnchor>
  <xdr:oneCellAnchor>
    <xdr:from>
      <xdr:col>5</xdr:col>
      <xdr:colOff>0</xdr:colOff>
      <xdr:row>41</xdr:row>
      <xdr:rowOff>0</xdr:rowOff>
    </xdr:from>
    <xdr:ext cx="209550" cy="200025"/>
    <xdr:pic>
      <xdr:nvPicPr>
        <xdr:cNvPr id="0" name="image38.png"/>
        <xdr:cNvPicPr preferRelativeResize="0"/>
      </xdr:nvPicPr>
      <xdr:blipFill>
        <a:blip cstate="print" r:embed="rId29"/>
        <a:stretch>
          <a:fillRect/>
        </a:stretch>
      </xdr:blipFill>
      <xdr:spPr>
        <a:prstGeom prst="rect">
          <a:avLst/>
        </a:prstGeom>
        <a:noFill/>
      </xdr:spPr>
    </xdr:pic>
    <xdr:clientData fLocksWithSheet="0"/>
  </xdr:oneCellAnchor>
  <xdr:oneCellAnchor>
    <xdr:from>
      <xdr:col>5</xdr:col>
      <xdr:colOff>0</xdr:colOff>
      <xdr:row>42</xdr:row>
      <xdr:rowOff>0</xdr:rowOff>
    </xdr:from>
    <xdr:ext cx="1209675" cy="2486025"/>
    <xdr:pic>
      <xdr:nvPicPr>
        <xdr:cNvPr id="0" name="image43.png"/>
        <xdr:cNvPicPr preferRelativeResize="0"/>
      </xdr:nvPicPr>
      <xdr:blipFill>
        <a:blip cstate="print" r:embed="rId30"/>
        <a:stretch>
          <a:fillRect/>
        </a:stretch>
      </xdr:blipFill>
      <xdr:spPr>
        <a:prstGeom prst="rect">
          <a:avLst/>
        </a:prstGeom>
        <a:noFill/>
      </xdr:spPr>
    </xdr:pic>
    <xdr:clientData fLocksWithSheet="0"/>
  </xdr:oneCellAnchor>
  <xdr:oneCellAnchor>
    <xdr:from>
      <xdr:col>5</xdr:col>
      <xdr:colOff>0</xdr:colOff>
      <xdr:row>43</xdr:row>
      <xdr:rowOff>0</xdr:rowOff>
    </xdr:from>
    <xdr:ext cx="2438400" cy="2219325"/>
    <xdr:pic>
      <xdr:nvPicPr>
        <xdr:cNvPr id="0" name="image30.png"/>
        <xdr:cNvPicPr preferRelativeResize="0"/>
      </xdr:nvPicPr>
      <xdr:blipFill>
        <a:blip cstate="print" r:embed="rId31"/>
        <a:stretch>
          <a:fillRect/>
        </a:stretch>
      </xdr:blipFill>
      <xdr:spPr>
        <a:prstGeom prst="rect">
          <a:avLst/>
        </a:prstGeom>
        <a:noFill/>
      </xdr:spPr>
    </xdr:pic>
    <xdr:clientData fLocksWithSheet="0"/>
  </xdr:oneCellAnchor>
  <xdr:oneCellAnchor>
    <xdr:from>
      <xdr:col>5</xdr:col>
      <xdr:colOff>0</xdr:colOff>
      <xdr:row>44</xdr:row>
      <xdr:rowOff>0</xdr:rowOff>
    </xdr:from>
    <xdr:ext cx="2486025" cy="3019425"/>
    <xdr:pic>
      <xdr:nvPicPr>
        <xdr:cNvPr id="0" name="image23.png"/>
        <xdr:cNvPicPr preferRelativeResize="0"/>
      </xdr:nvPicPr>
      <xdr:blipFill>
        <a:blip cstate="print" r:embed="rId32"/>
        <a:stretch>
          <a:fillRect/>
        </a:stretch>
      </xdr:blipFill>
      <xdr:spPr>
        <a:prstGeom prst="rect">
          <a:avLst/>
        </a:prstGeom>
        <a:noFill/>
      </xdr:spPr>
    </xdr:pic>
    <xdr:clientData fLocksWithSheet="0"/>
  </xdr:oneCellAnchor>
  <xdr:oneCellAnchor>
    <xdr:from>
      <xdr:col>5</xdr:col>
      <xdr:colOff>0</xdr:colOff>
      <xdr:row>45</xdr:row>
      <xdr:rowOff>0</xdr:rowOff>
    </xdr:from>
    <xdr:ext cx="1323975" cy="2609850"/>
    <xdr:pic>
      <xdr:nvPicPr>
        <xdr:cNvPr id="0" name="image31.png"/>
        <xdr:cNvPicPr preferRelativeResize="0"/>
      </xdr:nvPicPr>
      <xdr:blipFill>
        <a:blip cstate="print" r:embed="rId33"/>
        <a:stretch>
          <a:fillRect/>
        </a:stretch>
      </xdr:blipFill>
      <xdr:spPr>
        <a:prstGeom prst="rect">
          <a:avLst/>
        </a:prstGeom>
        <a:noFill/>
      </xdr:spPr>
    </xdr:pic>
    <xdr:clientData fLocksWithSheet="0"/>
  </xdr:oneCellAnchor>
  <xdr:oneCellAnchor>
    <xdr:from>
      <xdr:col>5</xdr:col>
      <xdr:colOff>0</xdr:colOff>
      <xdr:row>46</xdr:row>
      <xdr:rowOff>0</xdr:rowOff>
    </xdr:from>
    <xdr:ext cx="219075" cy="200025"/>
    <xdr:pic>
      <xdr:nvPicPr>
        <xdr:cNvPr id="0" name="image37.png"/>
        <xdr:cNvPicPr preferRelativeResize="0"/>
      </xdr:nvPicPr>
      <xdr:blipFill>
        <a:blip cstate="print" r:embed="rId34"/>
        <a:stretch>
          <a:fillRect/>
        </a:stretch>
      </xdr:blipFill>
      <xdr:spPr>
        <a:prstGeom prst="rect">
          <a:avLst/>
        </a:prstGeom>
        <a:noFill/>
      </xdr:spPr>
    </xdr:pic>
    <xdr:clientData fLocksWithSheet="0"/>
  </xdr:oneCellAnchor>
  <xdr:oneCellAnchor>
    <xdr:from>
      <xdr:col>5</xdr:col>
      <xdr:colOff>0</xdr:colOff>
      <xdr:row>47</xdr:row>
      <xdr:rowOff>0</xdr:rowOff>
    </xdr:from>
    <xdr:ext cx="2324100" cy="2114550"/>
    <xdr:pic>
      <xdr:nvPicPr>
        <xdr:cNvPr id="0" name="image30.png"/>
        <xdr:cNvPicPr preferRelativeResize="0"/>
      </xdr:nvPicPr>
      <xdr:blipFill>
        <a:blip cstate="print" r:embed="rId31"/>
        <a:stretch>
          <a:fillRect/>
        </a:stretch>
      </xdr:blipFill>
      <xdr:spPr>
        <a:prstGeom prst="rect">
          <a:avLst/>
        </a:prstGeom>
        <a:noFill/>
      </xdr:spPr>
    </xdr:pic>
    <xdr:clientData fLocksWithSheet="0"/>
  </xdr:oneCellAnchor>
  <xdr:oneCellAnchor>
    <xdr:from>
      <xdr:col>5</xdr:col>
      <xdr:colOff>0</xdr:colOff>
      <xdr:row>48</xdr:row>
      <xdr:rowOff>0</xdr:rowOff>
    </xdr:from>
    <xdr:ext cx="2085975" cy="1381125"/>
    <xdr:pic>
      <xdr:nvPicPr>
        <xdr:cNvPr id="0" name="image27.png"/>
        <xdr:cNvPicPr preferRelativeResize="0"/>
      </xdr:nvPicPr>
      <xdr:blipFill>
        <a:blip cstate="print" r:embed="rId35"/>
        <a:stretch>
          <a:fillRect/>
        </a:stretch>
      </xdr:blipFill>
      <xdr:spPr>
        <a:prstGeom prst="rect">
          <a:avLst/>
        </a:prstGeom>
        <a:noFill/>
      </xdr:spPr>
    </xdr:pic>
    <xdr:clientData fLocksWithSheet="0"/>
  </xdr:oneCellAnchor>
  <xdr:oneCellAnchor>
    <xdr:from>
      <xdr:col>5</xdr:col>
      <xdr:colOff>0</xdr:colOff>
      <xdr:row>49</xdr:row>
      <xdr:rowOff>0</xdr:rowOff>
    </xdr:from>
    <xdr:ext cx="1247775" cy="2514600"/>
    <xdr:pic>
      <xdr:nvPicPr>
        <xdr:cNvPr id="0" name="image46.png"/>
        <xdr:cNvPicPr preferRelativeResize="0"/>
      </xdr:nvPicPr>
      <xdr:blipFill>
        <a:blip cstate="print" r:embed="rId36"/>
        <a:stretch>
          <a:fillRect/>
        </a:stretch>
      </xdr:blipFill>
      <xdr:spPr>
        <a:prstGeom prst="rect">
          <a:avLst/>
        </a:prstGeom>
        <a:noFill/>
      </xdr:spPr>
    </xdr:pic>
    <xdr:clientData fLocksWithSheet="0"/>
  </xdr:oneCellAnchor>
  <xdr:oneCellAnchor>
    <xdr:from>
      <xdr:col>5</xdr:col>
      <xdr:colOff>0</xdr:colOff>
      <xdr:row>50</xdr:row>
      <xdr:rowOff>0</xdr:rowOff>
    </xdr:from>
    <xdr:ext cx="2457450" cy="2219325"/>
    <xdr:pic>
      <xdr:nvPicPr>
        <xdr:cNvPr id="0" name="image37.png"/>
        <xdr:cNvPicPr preferRelativeResize="0"/>
      </xdr:nvPicPr>
      <xdr:blipFill>
        <a:blip cstate="print" r:embed="rId34"/>
        <a:stretch>
          <a:fillRect/>
        </a:stretch>
      </xdr:blipFill>
      <xdr:spPr>
        <a:prstGeom prst="rect">
          <a:avLst/>
        </a:prstGeom>
        <a:noFill/>
      </xdr:spPr>
    </xdr:pic>
    <xdr:clientData fLocksWithSheet="0"/>
  </xdr:oneCellAnchor>
  <xdr:oneCellAnchor>
    <xdr:from>
      <xdr:col>5</xdr:col>
      <xdr:colOff>0</xdr:colOff>
      <xdr:row>51</xdr:row>
      <xdr:rowOff>0</xdr:rowOff>
    </xdr:from>
    <xdr:ext cx="1114425" cy="2200275"/>
    <xdr:pic>
      <xdr:nvPicPr>
        <xdr:cNvPr id="0" name="image40.png"/>
        <xdr:cNvPicPr preferRelativeResize="0"/>
      </xdr:nvPicPr>
      <xdr:blipFill>
        <a:blip cstate="print" r:embed="rId33"/>
        <a:stretch>
          <a:fillRect/>
        </a:stretch>
      </xdr:blipFill>
      <xdr:spPr>
        <a:prstGeom prst="rect">
          <a:avLst/>
        </a:prstGeom>
        <a:noFill/>
      </xdr:spPr>
    </xdr:pic>
    <xdr:clientData fLocksWithSheet="0"/>
  </xdr:oneCellAnchor>
  <xdr:oneCellAnchor>
    <xdr:from>
      <xdr:col>5</xdr:col>
      <xdr:colOff>0</xdr:colOff>
      <xdr:row>52</xdr:row>
      <xdr:rowOff>0</xdr:rowOff>
    </xdr:from>
    <xdr:ext cx="2324100" cy="2095500"/>
    <xdr:pic>
      <xdr:nvPicPr>
        <xdr:cNvPr id="0" name="image37.png"/>
        <xdr:cNvPicPr preferRelativeResize="0"/>
      </xdr:nvPicPr>
      <xdr:blipFill>
        <a:blip cstate="print" r:embed="rId34"/>
        <a:stretch>
          <a:fillRect/>
        </a:stretch>
      </xdr:blipFill>
      <xdr:spPr>
        <a:prstGeom prst="rect">
          <a:avLst/>
        </a:prstGeom>
        <a:noFill/>
      </xdr:spPr>
    </xdr:pic>
    <xdr:clientData fLocksWithSheet="0"/>
  </xdr:oneCellAnchor>
  <xdr:oneCellAnchor>
    <xdr:from>
      <xdr:col>5</xdr:col>
      <xdr:colOff>0</xdr:colOff>
      <xdr:row>53</xdr:row>
      <xdr:rowOff>0</xdr:rowOff>
    </xdr:from>
    <xdr:ext cx="2085975" cy="1609725"/>
    <xdr:pic>
      <xdr:nvPicPr>
        <xdr:cNvPr id="0" name="image32.png"/>
        <xdr:cNvPicPr preferRelativeResize="0"/>
      </xdr:nvPicPr>
      <xdr:blipFill>
        <a:blip cstate="print" r:embed="rId37"/>
        <a:stretch>
          <a:fillRect/>
        </a:stretch>
      </xdr:blipFill>
      <xdr:spPr>
        <a:prstGeom prst="rect">
          <a:avLst/>
        </a:prstGeom>
        <a:noFill/>
      </xdr:spPr>
    </xdr:pic>
    <xdr:clientData fLocksWithSheet="0"/>
  </xdr:oneCellAnchor>
  <xdr:oneCellAnchor>
    <xdr:from>
      <xdr:col>5</xdr:col>
      <xdr:colOff>0</xdr:colOff>
      <xdr:row>54</xdr:row>
      <xdr:rowOff>0</xdr:rowOff>
    </xdr:from>
    <xdr:ext cx="219075" cy="200025"/>
    <xdr:pic>
      <xdr:nvPicPr>
        <xdr:cNvPr id="0" name="image30.png"/>
        <xdr:cNvPicPr preferRelativeResize="0"/>
      </xdr:nvPicPr>
      <xdr:blipFill>
        <a:blip cstate="print" r:embed="rId31"/>
        <a:stretch>
          <a:fillRect/>
        </a:stretch>
      </xdr:blipFill>
      <xdr:spPr>
        <a:prstGeom prst="rect">
          <a:avLst/>
        </a:prstGeom>
        <a:noFill/>
      </xdr:spPr>
    </xdr:pic>
    <xdr:clientData fLocksWithSheet="0"/>
  </xdr:oneCellAnchor>
  <xdr:oneCellAnchor>
    <xdr:from>
      <xdr:col>5</xdr:col>
      <xdr:colOff>0</xdr:colOff>
      <xdr:row>55</xdr:row>
      <xdr:rowOff>0</xdr:rowOff>
    </xdr:from>
    <xdr:ext cx="581025" cy="200025"/>
    <xdr:pic>
      <xdr:nvPicPr>
        <xdr:cNvPr id="0" name="image36.png"/>
        <xdr:cNvPicPr preferRelativeResize="0"/>
      </xdr:nvPicPr>
      <xdr:blipFill>
        <a:blip cstate="print" r:embed="rId38"/>
        <a:stretch>
          <a:fillRect/>
        </a:stretch>
      </xdr:blipFill>
      <xdr:spPr>
        <a:prstGeom prst="rect">
          <a:avLst/>
        </a:prstGeom>
        <a:noFill/>
      </xdr:spPr>
    </xdr:pic>
    <xdr:clientData fLocksWithSheet="0"/>
  </xdr:oneCellAnchor>
  <xdr:oneCellAnchor>
    <xdr:from>
      <xdr:col>5</xdr:col>
      <xdr:colOff>0</xdr:colOff>
      <xdr:row>56</xdr:row>
      <xdr:rowOff>0</xdr:rowOff>
    </xdr:from>
    <xdr:ext cx="1181100" cy="2324100"/>
    <xdr:pic>
      <xdr:nvPicPr>
        <xdr:cNvPr id="0" name="image42.png"/>
        <xdr:cNvPicPr preferRelativeResize="0"/>
      </xdr:nvPicPr>
      <xdr:blipFill>
        <a:blip cstate="print" r:embed="rId39"/>
        <a:stretch>
          <a:fillRect/>
        </a:stretch>
      </xdr:blipFill>
      <xdr:spPr>
        <a:prstGeom prst="rect">
          <a:avLst/>
        </a:prstGeom>
        <a:noFill/>
      </xdr:spPr>
    </xdr:pic>
    <xdr:clientData fLocksWithSheet="0"/>
  </xdr:oneCellAnchor>
  <xdr:oneCellAnchor>
    <xdr:from>
      <xdr:col>5</xdr:col>
      <xdr:colOff>0</xdr:colOff>
      <xdr:row>57</xdr:row>
      <xdr:rowOff>0</xdr:rowOff>
    </xdr:from>
    <xdr:ext cx="1257300" cy="2362200"/>
    <xdr:pic>
      <xdr:nvPicPr>
        <xdr:cNvPr id="0" name="image44.png"/>
        <xdr:cNvPicPr preferRelativeResize="0"/>
      </xdr:nvPicPr>
      <xdr:blipFill>
        <a:blip cstate="print" r:embed="rId8"/>
        <a:stretch>
          <a:fillRect/>
        </a:stretch>
      </xdr:blipFill>
      <xdr:spPr>
        <a:prstGeom prst="rect">
          <a:avLst/>
        </a:prstGeom>
        <a:noFill/>
      </xdr:spPr>
    </xdr:pic>
    <xdr:clientData fLocksWithSheet="0"/>
  </xdr:oneCellAnchor>
  <xdr:oneCellAnchor>
    <xdr:from>
      <xdr:col>5</xdr:col>
      <xdr:colOff>0</xdr:colOff>
      <xdr:row>58</xdr:row>
      <xdr:rowOff>0</xdr:rowOff>
    </xdr:from>
    <xdr:ext cx="1162050" cy="2295525"/>
    <xdr:pic>
      <xdr:nvPicPr>
        <xdr:cNvPr id="0" name="image42.png"/>
        <xdr:cNvPicPr preferRelativeResize="0"/>
      </xdr:nvPicPr>
      <xdr:blipFill>
        <a:blip cstate="print" r:embed="rId39"/>
        <a:stretch>
          <a:fillRect/>
        </a:stretch>
      </xdr:blipFill>
      <xdr:spPr>
        <a:prstGeom prst="rect">
          <a:avLst/>
        </a:prstGeom>
        <a:noFill/>
      </xdr:spPr>
    </xdr:pic>
    <xdr:clientData fLocksWithSheet="0"/>
  </xdr:oneCellAnchor>
  <xdr:oneCellAnchor>
    <xdr:from>
      <xdr:col>5</xdr:col>
      <xdr:colOff>0</xdr:colOff>
      <xdr:row>59</xdr:row>
      <xdr:rowOff>0</xdr:rowOff>
    </xdr:from>
    <xdr:ext cx="581025" cy="200025"/>
    <xdr:pic>
      <xdr:nvPicPr>
        <xdr:cNvPr id="0" name="image35.png"/>
        <xdr:cNvPicPr preferRelativeResize="0"/>
      </xdr:nvPicPr>
      <xdr:blipFill>
        <a:blip cstate="print" r:embed="rId38"/>
        <a:stretch>
          <a:fillRect/>
        </a:stretch>
      </xdr:blipFill>
      <xdr:spPr>
        <a:prstGeom prst="rect">
          <a:avLst/>
        </a:prstGeom>
        <a:noFill/>
      </xdr:spPr>
    </xdr:pic>
    <xdr:clientData fLocksWithSheet="0"/>
  </xdr:oneCellAnchor>
  <xdr:oneCellAnchor>
    <xdr:from>
      <xdr:col>5</xdr:col>
      <xdr:colOff>0</xdr:colOff>
      <xdr:row>60</xdr:row>
      <xdr:rowOff>0</xdr:rowOff>
    </xdr:from>
    <xdr:ext cx="2562225" cy="1819275"/>
    <xdr:pic>
      <xdr:nvPicPr>
        <xdr:cNvPr id="0" name="image41.png"/>
        <xdr:cNvPicPr preferRelativeResize="0"/>
      </xdr:nvPicPr>
      <xdr:blipFill>
        <a:blip cstate="print" r:embed="rId40"/>
        <a:stretch>
          <a:fillRect/>
        </a:stretch>
      </xdr:blipFill>
      <xdr:spPr>
        <a:prstGeom prst="rect">
          <a:avLst/>
        </a:prstGeom>
        <a:noFill/>
      </xdr:spPr>
    </xdr:pic>
    <xdr:clientData fLocksWithSheet="0"/>
  </xdr:oneCellAnchor>
  <xdr:oneCellAnchor>
    <xdr:from>
      <xdr:col>5</xdr:col>
      <xdr:colOff>0</xdr:colOff>
      <xdr:row>61</xdr:row>
      <xdr:rowOff>0</xdr:rowOff>
    </xdr:from>
    <xdr:ext cx="2609850" cy="1495425"/>
    <xdr:pic>
      <xdr:nvPicPr>
        <xdr:cNvPr id="0" name="image39.png"/>
        <xdr:cNvPicPr preferRelativeResize="0"/>
      </xdr:nvPicPr>
      <xdr:blipFill>
        <a:blip cstate="print" r:embed="rId41"/>
        <a:stretch>
          <a:fillRect/>
        </a:stretch>
      </xdr:blipFill>
      <xdr:spPr>
        <a:prstGeom prst="rect">
          <a:avLst/>
        </a:prstGeom>
        <a:noFill/>
      </xdr:spPr>
    </xdr:pic>
    <xdr:clientData fLocksWithSheet="0"/>
  </xdr:oneCellAnchor>
  <xdr:oneCellAnchor>
    <xdr:from>
      <xdr:col>5</xdr:col>
      <xdr:colOff>0</xdr:colOff>
      <xdr:row>62</xdr:row>
      <xdr:rowOff>0</xdr:rowOff>
    </xdr:from>
    <xdr:ext cx="1371600" cy="2657475"/>
    <xdr:pic>
      <xdr:nvPicPr>
        <xdr:cNvPr id="0" name="image47.png"/>
        <xdr:cNvPicPr preferRelativeResize="0"/>
      </xdr:nvPicPr>
      <xdr:blipFill>
        <a:blip cstate="print" r:embed="rId42"/>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0:I63" displayName="Group_Heuristic_Evaluations" name="Group_Heuristic_Evaluations" id="1">
  <autoFilter ref="$A$10:$I$63"/>
  <tableColumns count="9">
    <tableColumn name="Problem #" id="1"/>
    <tableColumn name="Heuristic " id="2"/>
    <tableColumn name="Task" id="3"/>
    <tableColumn name="Severity" id="4"/>
    <tableColumn name="Description" id="5"/>
    <tableColumn name="Images" id="6"/>
    <tableColumn name="Rationale" id="7"/>
    <tableColumn name="Fix" id="8"/>
    <tableColumn name="Found by" id="9"/>
  </tableColumns>
  <tableStyleInfo name="Group Heuristic Evaluation-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3"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3.25"/>
    <col customWidth="1" min="2" max="2" width="30.13"/>
    <col customWidth="1" min="3" max="4" width="22.63"/>
    <col customWidth="1" min="5" max="5" width="28.75"/>
    <col customWidth="1" min="6" max="6" width="37.25"/>
    <col customWidth="1" min="7" max="7" width="35.38"/>
    <col customWidth="1" min="8" max="10" width="22.63"/>
    <col customWidth="1" min="11" max="11" width="15.13"/>
  </cols>
  <sheetData>
    <row r="1" ht="69.0" customHeight="1">
      <c r="A1" s="1" t="s">
        <v>0</v>
      </c>
      <c r="B1" s="2" t="s">
        <v>1</v>
      </c>
      <c r="F1" s="3"/>
      <c r="G1" s="4" t="s">
        <v>2</v>
      </c>
    </row>
    <row r="2">
      <c r="A2" s="3"/>
      <c r="B2" s="3"/>
      <c r="C2" s="3"/>
      <c r="D2" s="3"/>
      <c r="E2" s="3"/>
      <c r="F2" s="3"/>
      <c r="G2" s="3"/>
    </row>
    <row r="3">
      <c r="A3" s="3"/>
      <c r="B3" s="3"/>
      <c r="C3" s="3"/>
      <c r="D3" s="5" t="s">
        <v>3</v>
      </c>
      <c r="F3" s="3"/>
      <c r="G3" s="6" t="s">
        <v>4</v>
      </c>
    </row>
    <row r="4">
      <c r="A4" s="7" t="s">
        <v>5</v>
      </c>
      <c r="B4" s="5" t="s">
        <v>6</v>
      </c>
      <c r="C4" s="5"/>
      <c r="D4" s="7"/>
      <c r="E4" s="5"/>
      <c r="F4" s="8" t="s">
        <v>7</v>
      </c>
      <c r="G4" s="9"/>
    </row>
    <row r="5">
      <c r="A5" s="7" t="s">
        <v>8</v>
      </c>
      <c r="B5" s="5" t="s">
        <v>9</v>
      </c>
      <c r="C5" s="5"/>
      <c r="D5" s="7"/>
      <c r="E5" s="5"/>
      <c r="F5" s="8" t="s">
        <v>10</v>
      </c>
      <c r="G5" s="10"/>
    </row>
    <row r="6">
      <c r="A6" s="7" t="s">
        <v>11</v>
      </c>
      <c r="B6" s="5" t="s">
        <v>12</v>
      </c>
      <c r="C6" s="5"/>
      <c r="D6" s="7"/>
      <c r="E6" s="5"/>
      <c r="F6" s="8" t="s">
        <v>13</v>
      </c>
      <c r="G6" s="9"/>
    </row>
    <row r="7">
      <c r="A7" s="3"/>
      <c r="B7" s="3"/>
      <c r="C7" s="3"/>
      <c r="D7" s="7"/>
      <c r="E7" s="3"/>
      <c r="F7" s="8" t="s">
        <v>14</v>
      </c>
      <c r="G7" s="9"/>
    </row>
    <row r="8">
      <c r="A8" s="3"/>
      <c r="B8" s="3"/>
      <c r="C8" s="3"/>
      <c r="D8" s="3"/>
      <c r="E8" s="3"/>
      <c r="F8" s="3"/>
      <c r="G8" s="3"/>
    </row>
    <row r="9">
      <c r="A9" s="3"/>
      <c r="B9" s="3"/>
      <c r="C9" s="3"/>
      <c r="D9" s="3"/>
      <c r="E9" s="5"/>
      <c r="F9" s="5" t="s">
        <v>15</v>
      </c>
      <c r="G9" s="3"/>
    </row>
    <row r="10" ht="22.5" customHeight="1">
      <c r="A10" s="11" t="s">
        <v>16</v>
      </c>
      <c r="B10" s="11" t="s">
        <v>17</v>
      </c>
      <c r="C10" s="11" t="s">
        <v>18</v>
      </c>
      <c r="D10" s="11" t="s">
        <v>19</v>
      </c>
      <c r="E10" s="11" t="s">
        <v>20</v>
      </c>
      <c r="F10" s="11" t="s">
        <v>21</v>
      </c>
      <c r="G10" s="11" t="s">
        <v>22</v>
      </c>
      <c r="H10" s="11" t="s">
        <v>23</v>
      </c>
      <c r="I10" s="11" t="s">
        <v>24</v>
      </c>
    </row>
    <row r="11" ht="163.5" customHeight="1">
      <c r="A11" s="12">
        <f t="shared" ref="A11:A63" si="1">ROW() - 10</f>
        <v>1</v>
      </c>
      <c r="B11" s="13" t="s">
        <v>25</v>
      </c>
      <c r="C11" s="13" t="s">
        <v>26</v>
      </c>
      <c r="D11" s="14">
        <v>4.0</v>
      </c>
      <c r="E11" s="15" t="s">
        <v>27</v>
      </c>
      <c r="F11" s="16"/>
      <c r="G11" s="17" t="s">
        <v>28</v>
      </c>
      <c r="H11" s="18" t="s">
        <v>29</v>
      </c>
      <c r="I11" s="19" t="s">
        <v>30</v>
      </c>
    </row>
    <row r="12" ht="174.75" customHeight="1">
      <c r="A12" s="12">
        <f t="shared" si="1"/>
        <v>2</v>
      </c>
      <c r="B12" s="20" t="s">
        <v>31</v>
      </c>
      <c r="C12" s="20" t="s">
        <v>26</v>
      </c>
      <c r="D12" s="21">
        <v>3.0</v>
      </c>
      <c r="E12" s="22" t="s">
        <v>32</v>
      </c>
      <c r="F12" s="23"/>
      <c r="G12" s="24" t="s">
        <v>33</v>
      </c>
      <c r="H12" s="25" t="s">
        <v>34</v>
      </c>
      <c r="I12" s="26" t="s">
        <v>35</v>
      </c>
    </row>
    <row r="13" ht="22.5" customHeight="1">
      <c r="A13" s="12">
        <f t="shared" si="1"/>
        <v>3</v>
      </c>
      <c r="B13" s="13" t="s">
        <v>31</v>
      </c>
      <c r="C13" s="13" t="s">
        <v>26</v>
      </c>
      <c r="D13" s="27">
        <v>3.0</v>
      </c>
      <c r="E13" s="15" t="s">
        <v>36</v>
      </c>
      <c r="F13" s="23"/>
      <c r="G13" s="17" t="s">
        <v>37</v>
      </c>
      <c r="H13" s="28"/>
      <c r="I13" s="26" t="s">
        <v>38</v>
      </c>
    </row>
    <row r="14" ht="22.5" customHeight="1">
      <c r="A14" s="12">
        <f t="shared" si="1"/>
        <v>4</v>
      </c>
      <c r="B14" s="20" t="s">
        <v>39</v>
      </c>
      <c r="C14" s="20" t="s">
        <v>26</v>
      </c>
      <c r="D14" s="21">
        <v>3.0</v>
      </c>
      <c r="E14" s="22" t="s">
        <v>40</v>
      </c>
      <c r="F14" s="23"/>
      <c r="G14" s="24" t="s">
        <v>41</v>
      </c>
      <c r="H14" s="25" t="s">
        <v>42</v>
      </c>
      <c r="I14" s="26" t="s">
        <v>43</v>
      </c>
    </row>
    <row r="15" ht="101.25" customHeight="1">
      <c r="A15" s="12">
        <f t="shared" si="1"/>
        <v>5</v>
      </c>
      <c r="B15" s="29" t="s">
        <v>44</v>
      </c>
      <c r="C15" s="29" t="s">
        <v>26</v>
      </c>
      <c r="D15" s="30">
        <v>3.0</v>
      </c>
      <c r="E15" s="31" t="s">
        <v>45</v>
      </c>
      <c r="F15" s="32"/>
      <c r="G15" s="33" t="s">
        <v>46</v>
      </c>
      <c r="H15" s="34" t="s">
        <v>47</v>
      </c>
      <c r="I15" s="19" t="s">
        <v>48</v>
      </c>
    </row>
    <row r="16" ht="22.5" customHeight="1">
      <c r="A16" s="12">
        <f t="shared" si="1"/>
        <v>6</v>
      </c>
      <c r="B16" s="35" t="s">
        <v>49</v>
      </c>
      <c r="C16" s="35" t="s">
        <v>26</v>
      </c>
      <c r="D16" s="36">
        <v>2.0</v>
      </c>
      <c r="E16" s="22" t="s">
        <v>50</v>
      </c>
      <c r="F16" s="37"/>
      <c r="G16" s="38" t="s">
        <v>51</v>
      </c>
      <c r="H16" s="39" t="s">
        <v>52</v>
      </c>
      <c r="I16" s="26" t="s">
        <v>53</v>
      </c>
    </row>
    <row r="17" ht="249.0" customHeight="1">
      <c r="A17" s="12">
        <f t="shared" si="1"/>
        <v>7</v>
      </c>
      <c r="B17" s="40" t="s">
        <v>49</v>
      </c>
      <c r="C17" s="40" t="s">
        <v>26</v>
      </c>
      <c r="D17" s="41">
        <v>2.0</v>
      </c>
      <c r="E17" s="42" t="s">
        <v>54</v>
      </c>
      <c r="F17" s="43"/>
      <c r="G17" s="43" t="s">
        <v>55</v>
      </c>
      <c r="H17" s="44" t="s">
        <v>56</v>
      </c>
      <c r="I17" s="26" t="s">
        <v>57</v>
      </c>
    </row>
    <row r="18" ht="221.25" customHeight="1">
      <c r="A18" s="12">
        <f t="shared" si="1"/>
        <v>8</v>
      </c>
      <c r="B18" s="45" t="s">
        <v>49</v>
      </c>
      <c r="C18" s="45" t="s">
        <v>26</v>
      </c>
      <c r="D18" s="46">
        <v>2.0</v>
      </c>
      <c r="E18" s="47" t="s">
        <v>58</v>
      </c>
      <c r="F18" s="48"/>
      <c r="G18" s="47" t="s">
        <v>59</v>
      </c>
      <c r="H18" s="47" t="s">
        <v>60</v>
      </c>
      <c r="I18" s="26" t="s">
        <v>61</v>
      </c>
    </row>
    <row r="19" ht="22.5" customHeight="1">
      <c r="A19" s="12">
        <f t="shared" si="1"/>
        <v>9</v>
      </c>
      <c r="B19" s="20" t="s">
        <v>62</v>
      </c>
      <c r="C19" s="20" t="s">
        <v>26</v>
      </c>
      <c r="D19" s="49">
        <v>2.0</v>
      </c>
      <c r="E19" s="50" t="s">
        <v>63</v>
      </c>
      <c r="F19" s="51"/>
      <c r="G19" s="52" t="s">
        <v>64</v>
      </c>
      <c r="H19" s="25" t="s">
        <v>65</v>
      </c>
      <c r="I19" s="26" t="s">
        <v>66</v>
      </c>
    </row>
    <row r="20" ht="144.75" customHeight="1">
      <c r="A20" s="12">
        <f t="shared" si="1"/>
        <v>10</v>
      </c>
      <c r="B20" s="13" t="s">
        <v>67</v>
      </c>
      <c r="C20" s="13" t="s">
        <v>26</v>
      </c>
      <c r="D20" s="53">
        <v>2.0</v>
      </c>
      <c r="E20" s="54" t="s">
        <v>68</v>
      </c>
      <c r="F20" s="23"/>
      <c r="G20" s="55" t="s">
        <v>69</v>
      </c>
      <c r="H20" s="18" t="s">
        <v>70</v>
      </c>
      <c r="I20" s="26" t="s">
        <v>71</v>
      </c>
    </row>
    <row r="21" ht="22.5" customHeight="1">
      <c r="A21" s="12">
        <f t="shared" si="1"/>
        <v>11</v>
      </c>
      <c r="B21" s="20" t="s">
        <v>67</v>
      </c>
      <c r="C21" s="20" t="s">
        <v>26</v>
      </c>
      <c r="D21" s="56">
        <v>2.0</v>
      </c>
      <c r="E21" s="57" t="s">
        <v>72</v>
      </c>
      <c r="F21" s="23"/>
      <c r="G21" s="52" t="s">
        <v>73</v>
      </c>
      <c r="H21" s="58" t="s">
        <v>74</v>
      </c>
      <c r="I21" s="26" t="s">
        <v>71</v>
      </c>
    </row>
    <row r="22" ht="22.5" customHeight="1">
      <c r="A22" s="12">
        <f t="shared" si="1"/>
        <v>12</v>
      </c>
      <c r="B22" s="29" t="s">
        <v>75</v>
      </c>
      <c r="C22" s="29" t="s">
        <v>26</v>
      </c>
      <c r="D22" s="59">
        <v>1.0</v>
      </c>
      <c r="E22" s="60" t="s">
        <v>76</v>
      </c>
      <c r="F22" s="48"/>
      <c r="G22" s="61" t="s">
        <v>77</v>
      </c>
      <c r="H22" s="34" t="s">
        <v>78</v>
      </c>
      <c r="I22" s="26" t="s">
        <v>53</v>
      </c>
    </row>
    <row r="23" ht="203.25" customHeight="1">
      <c r="A23" s="12">
        <f t="shared" si="1"/>
        <v>13</v>
      </c>
      <c r="B23" s="20" t="s">
        <v>67</v>
      </c>
      <c r="C23" s="20" t="s">
        <v>26</v>
      </c>
      <c r="D23" s="62">
        <v>1.0</v>
      </c>
      <c r="E23" s="57" t="s">
        <v>79</v>
      </c>
      <c r="F23" s="23"/>
      <c r="G23" s="24" t="s">
        <v>80</v>
      </c>
      <c r="H23" s="28"/>
      <c r="I23" s="26" t="s">
        <v>35</v>
      </c>
      <c r="J23" s="63"/>
      <c r="K23" s="63"/>
      <c r="L23" s="63"/>
      <c r="M23" s="63"/>
      <c r="N23" s="63"/>
      <c r="O23" s="63"/>
      <c r="P23" s="63"/>
      <c r="Q23" s="63"/>
      <c r="R23" s="63"/>
      <c r="S23" s="63"/>
      <c r="T23" s="63"/>
      <c r="U23" s="63"/>
      <c r="V23" s="63"/>
      <c r="W23" s="63"/>
      <c r="X23" s="63"/>
      <c r="Y23" s="63"/>
      <c r="Z23" s="63"/>
      <c r="AA23" s="63"/>
      <c r="AB23" s="63"/>
      <c r="AC23" s="63"/>
      <c r="AD23" s="63"/>
      <c r="AE23" s="63"/>
      <c r="AF23" s="63"/>
    </row>
    <row r="24" ht="175.5" customHeight="1">
      <c r="A24" s="12">
        <f t="shared" si="1"/>
        <v>14</v>
      </c>
      <c r="B24" s="13" t="s">
        <v>67</v>
      </c>
      <c r="C24" s="13" t="s">
        <v>26</v>
      </c>
      <c r="D24" s="64">
        <v>1.0</v>
      </c>
      <c r="E24" s="15" t="s">
        <v>81</v>
      </c>
      <c r="F24" s="23"/>
      <c r="G24" s="55" t="s">
        <v>82</v>
      </c>
      <c r="H24" s="18" t="s">
        <v>83</v>
      </c>
      <c r="I24" s="26" t="s">
        <v>35</v>
      </c>
      <c r="J24" s="63"/>
      <c r="K24" s="63"/>
      <c r="L24" s="63"/>
      <c r="M24" s="63"/>
      <c r="N24" s="63"/>
      <c r="O24" s="63"/>
      <c r="P24" s="63"/>
      <c r="Q24" s="63"/>
      <c r="R24" s="63"/>
      <c r="S24" s="63"/>
      <c r="T24" s="63"/>
      <c r="U24" s="63"/>
      <c r="V24" s="63"/>
      <c r="W24" s="63"/>
      <c r="X24" s="63"/>
      <c r="Y24" s="63"/>
      <c r="Z24" s="63"/>
      <c r="AA24" s="63"/>
      <c r="AB24" s="63"/>
      <c r="AC24" s="63"/>
      <c r="AD24" s="63"/>
      <c r="AE24" s="63"/>
      <c r="AF24" s="63"/>
    </row>
    <row r="25" ht="175.5" customHeight="1">
      <c r="A25" s="12">
        <f t="shared" si="1"/>
        <v>15</v>
      </c>
      <c r="B25" s="65" t="s">
        <v>31</v>
      </c>
      <c r="C25" s="65" t="s">
        <v>26</v>
      </c>
      <c r="D25" s="66">
        <v>1.0</v>
      </c>
      <c r="E25" s="67" t="s">
        <v>84</v>
      </c>
      <c r="F25" s="23"/>
      <c r="G25" s="38" t="s">
        <v>85</v>
      </c>
      <c r="H25" s="39" t="s">
        <v>86</v>
      </c>
      <c r="I25" s="26" t="s">
        <v>71</v>
      </c>
      <c r="J25" s="63"/>
      <c r="K25" s="63"/>
      <c r="L25" s="63"/>
      <c r="M25" s="63"/>
      <c r="N25" s="63"/>
      <c r="O25" s="63"/>
      <c r="P25" s="63"/>
      <c r="Q25" s="63"/>
      <c r="R25" s="63"/>
      <c r="S25" s="63"/>
      <c r="T25" s="63"/>
      <c r="U25" s="63"/>
      <c r="V25" s="63"/>
      <c r="W25" s="63"/>
      <c r="X25" s="63"/>
      <c r="Y25" s="63"/>
      <c r="Z25" s="63"/>
      <c r="AA25" s="63"/>
      <c r="AB25" s="63"/>
      <c r="AC25" s="63"/>
      <c r="AD25" s="63"/>
      <c r="AE25" s="63"/>
      <c r="AF25" s="63"/>
    </row>
    <row r="26" ht="22.5" customHeight="1">
      <c r="A26" s="12">
        <f t="shared" si="1"/>
        <v>16</v>
      </c>
      <c r="B26" s="68" t="s">
        <v>49</v>
      </c>
      <c r="C26" s="68" t="s">
        <v>87</v>
      </c>
      <c r="D26" s="69">
        <v>3.0</v>
      </c>
      <c r="E26" s="60" t="s">
        <v>88</v>
      </c>
      <c r="F26" s="23"/>
      <c r="G26" s="33" t="s">
        <v>89</v>
      </c>
      <c r="H26" s="34" t="s">
        <v>90</v>
      </c>
      <c r="I26" s="26" t="s">
        <v>53</v>
      </c>
    </row>
    <row r="27" ht="22.5" customHeight="1">
      <c r="A27" s="12">
        <f t="shared" si="1"/>
        <v>17</v>
      </c>
      <c r="B27" s="20" t="s">
        <v>75</v>
      </c>
      <c r="C27" s="70" t="s">
        <v>87</v>
      </c>
      <c r="D27" s="71">
        <v>3.0</v>
      </c>
      <c r="E27" s="72" t="s">
        <v>91</v>
      </c>
      <c r="F27" s="23"/>
      <c r="G27" s="24" t="s">
        <v>92</v>
      </c>
      <c r="H27" s="25" t="s">
        <v>93</v>
      </c>
      <c r="I27" s="26" t="s">
        <v>43</v>
      </c>
    </row>
    <row r="28" ht="22.5" customHeight="1">
      <c r="A28" s="12">
        <f t="shared" si="1"/>
        <v>18</v>
      </c>
      <c r="B28" s="13" t="s">
        <v>75</v>
      </c>
      <c r="C28" s="13" t="s">
        <v>87</v>
      </c>
      <c r="D28" s="73">
        <v>3.0</v>
      </c>
      <c r="E28" s="15" t="s">
        <v>94</v>
      </c>
      <c r="F28" s="23"/>
      <c r="G28" s="55" t="s">
        <v>95</v>
      </c>
      <c r="H28" s="18" t="s">
        <v>96</v>
      </c>
      <c r="I28" s="26" t="s">
        <v>35</v>
      </c>
    </row>
    <row r="29" ht="22.5" customHeight="1">
      <c r="A29" s="12">
        <f t="shared" si="1"/>
        <v>19</v>
      </c>
      <c r="B29" s="65" t="s">
        <v>97</v>
      </c>
      <c r="C29" s="65" t="s">
        <v>87</v>
      </c>
      <c r="D29" s="74">
        <v>3.0</v>
      </c>
      <c r="E29" s="67" t="s">
        <v>98</v>
      </c>
      <c r="F29" s="23"/>
      <c r="G29" s="38" t="s">
        <v>99</v>
      </c>
      <c r="H29" s="39" t="s">
        <v>100</v>
      </c>
      <c r="I29" s="26" t="s">
        <v>43</v>
      </c>
    </row>
    <row r="30" ht="22.5" customHeight="1">
      <c r="A30" s="12">
        <f t="shared" si="1"/>
        <v>20</v>
      </c>
      <c r="B30" s="75" t="s">
        <v>67</v>
      </c>
      <c r="C30" s="75" t="s">
        <v>87</v>
      </c>
      <c r="D30" s="73">
        <v>3.0</v>
      </c>
      <c r="E30" s="15" t="s">
        <v>101</v>
      </c>
      <c r="F30" s="76"/>
      <c r="G30" s="55" t="s">
        <v>102</v>
      </c>
      <c r="H30" s="18" t="s">
        <v>103</v>
      </c>
      <c r="I30" s="26" t="s">
        <v>57</v>
      </c>
    </row>
    <row r="31" ht="205.5" customHeight="1">
      <c r="A31" s="12">
        <f t="shared" si="1"/>
        <v>21</v>
      </c>
      <c r="B31" s="77" t="s">
        <v>62</v>
      </c>
      <c r="C31" s="77" t="s">
        <v>87</v>
      </c>
      <c r="D31" s="78">
        <v>3.0</v>
      </c>
      <c r="E31" s="57" t="s">
        <v>104</v>
      </c>
      <c r="F31" s="79"/>
      <c r="G31" s="24" t="s">
        <v>105</v>
      </c>
      <c r="H31" s="25" t="s">
        <v>106</v>
      </c>
      <c r="I31" s="26" t="s">
        <v>57</v>
      </c>
    </row>
    <row r="32" ht="22.5" customHeight="1">
      <c r="A32" s="12">
        <f t="shared" si="1"/>
        <v>22</v>
      </c>
      <c r="B32" s="45" t="s">
        <v>107</v>
      </c>
      <c r="C32" s="45" t="s">
        <v>87</v>
      </c>
      <c r="D32" s="80">
        <v>3.0</v>
      </c>
      <c r="E32" s="81" t="s">
        <v>108</v>
      </c>
      <c r="F32" s="76"/>
      <c r="G32" s="55" t="s">
        <v>109</v>
      </c>
      <c r="H32" s="18" t="s">
        <v>110</v>
      </c>
      <c r="I32" s="26" t="s">
        <v>71</v>
      </c>
    </row>
    <row r="33" ht="22.5" customHeight="1">
      <c r="A33" s="12">
        <f t="shared" si="1"/>
        <v>23</v>
      </c>
      <c r="B33" s="82" t="s">
        <v>111</v>
      </c>
      <c r="C33" s="82" t="s">
        <v>87</v>
      </c>
      <c r="D33" s="83">
        <v>3.0</v>
      </c>
      <c r="E33" s="57" t="s">
        <v>112</v>
      </c>
      <c r="F33" s="76"/>
      <c r="G33" s="24" t="s">
        <v>113</v>
      </c>
      <c r="H33" s="84" t="s">
        <v>114</v>
      </c>
      <c r="I33" s="26" t="s">
        <v>71</v>
      </c>
    </row>
    <row r="34" ht="205.5" customHeight="1">
      <c r="A34" s="12">
        <f t="shared" si="1"/>
        <v>24</v>
      </c>
      <c r="B34" s="13" t="s">
        <v>111</v>
      </c>
      <c r="C34" s="13" t="s">
        <v>87</v>
      </c>
      <c r="D34" s="27">
        <v>3.0</v>
      </c>
      <c r="E34" s="15" t="s">
        <v>115</v>
      </c>
      <c r="F34" s="76"/>
      <c r="G34" s="17" t="s">
        <v>116</v>
      </c>
      <c r="H34" s="85" t="s">
        <v>117</v>
      </c>
      <c r="I34" s="26" t="s">
        <v>71</v>
      </c>
    </row>
    <row r="35" ht="152.25" customHeight="1">
      <c r="A35" s="12">
        <f t="shared" si="1"/>
        <v>25</v>
      </c>
      <c r="B35" s="86" t="s">
        <v>44</v>
      </c>
      <c r="C35" s="82" t="s">
        <v>87</v>
      </c>
      <c r="D35" s="87">
        <v>2.0</v>
      </c>
      <c r="E35" s="57" t="s">
        <v>118</v>
      </c>
      <c r="F35" s="23"/>
      <c r="G35" s="24" t="s">
        <v>119</v>
      </c>
      <c r="H35" s="25" t="s">
        <v>120</v>
      </c>
      <c r="I35" s="26" t="s">
        <v>35</v>
      </c>
    </row>
    <row r="36" ht="216.75" customHeight="1">
      <c r="A36" s="12">
        <f t="shared" si="1"/>
        <v>26</v>
      </c>
      <c r="B36" s="65" t="s">
        <v>44</v>
      </c>
      <c r="C36" s="65" t="s">
        <v>87</v>
      </c>
      <c r="D36" s="88">
        <v>2.0</v>
      </c>
      <c r="E36" s="15" t="s">
        <v>121</v>
      </c>
      <c r="F36" s="48"/>
      <c r="G36" s="38" t="s">
        <v>122</v>
      </c>
      <c r="H36" s="39" t="s">
        <v>123</v>
      </c>
      <c r="I36" s="26" t="s">
        <v>35</v>
      </c>
    </row>
    <row r="37" ht="126.0" customHeight="1">
      <c r="A37" s="12">
        <f t="shared" si="1"/>
        <v>27</v>
      </c>
      <c r="B37" s="29" t="s">
        <v>49</v>
      </c>
      <c r="C37" s="29" t="s">
        <v>87</v>
      </c>
      <c r="D37" s="89">
        <v>2.0</v>
      </c>
      <c r="E37" s="60" t="s">
        <v>124</v>
      </c>
      <c r="F37" s="23"/>
      <c r="G37" s="33" t="s">
        <v>125</v>
      </c>
      <c r="H37" s="90"/>
      <c r="I37" s="26" t="s">
        <v>71</v>
      </c>
      <c r="L37" s="91" t="s">
        <v>126</v>
      </c>
    </row>
    <row r="38" ht="169.5" customHeight="1">
      <c r="A38" s="12">
        <f t="shared" si="1"/>
        <v>28</v>
      </c>
      <c r="B38" s="92" t="s">
        <v>49</v>
      </c>
      <c r="C38" s="92" t="s">
        <v>87</v>
      </c>
      <c r="D38" s="93">
        <v>2.0</v>
      </c>
      <c r="E38" s="60" t="s">
        <v>127</v>
      </c>
      <c r="F38" s="79"/>
      <c r="G38" s="24" t="s">
        <v>128</v>
      </c>
      <c r="H38" s="25" t="s">
        <v>129</v>
      </c>
      <c r="I38" s="26" t="s">
        <v>57</v>
      </c>
    </row>
    <row r="39" ht="22.5" customHeight="1">
      <c r="A39" s="12">
        <f t="shared" si="1"/>
        <v>29</v>
      </c>
      <c r="B39" s="29" t="s">
        <v>67</v>
      </c>
      <c r="C39" s="29" t="s">
        <v>87</v>
      </c>
      <c r="D39" s="89">
        <v>2.0</v>
      </c>
      <c r="E39" s="60" t="s">
        <v>130</v>
      </c>
      <c r="F39" s="23"/>
      <c r="G39" s="33" t="s">
        <v>131</v>
      </c>
      <c r="H39" s="34" t="s">
        <v>132</v>
      </c>
      <c r="I39" s="26" t="s">
        <v>71</v>
      </c>
    </row>
    <row r="40" ht="22.5" customHeight="1">
      <c r="A40" s="12">
        <f t="shared" si="1"/>
        <v>30</v>
      </c>
      <c r="B40" s="65" t="s">
        <v>67</v>
      </c>
      <c r="C40" s="65" t="s">
        <v>87</v>
      </c>
      <c r="D40" s="88">
        <v>2.0</v>
      </c>
      <c r="E40" s="67" t="s">
        <v>133</v>
      </c>
      <c r="F40" s="79"/>
      <c r="G40" s="38" t="s">
        <v>134</v>
      </c>
      <c r="H40" s="39" t="s">
        <v>135</v>
      </c>
      <c r="I40" s="26" t="s">
        <v>71</v>
      </c>
    </row>
    <row r="41" ht="171.75" customHeight="1">
      <c r="A41" s="12">
        <f t="shared" si="1"/>
        <v>31</v>
      </c>
      <c r="B41" s="20" t="s">
        <v>107</v>
      </c>
      <c r="C41" s="20" t="s">
        <v>87</v>
      </c>
      <c r="D41" s="56">
        <v>2.0</v>
      </c>
      <c r="E41" s="57" t="s">
        <v>136</v>
      </c>
      <c r="F41" s="79"/>
      <c r="G41" s="94" t="s">
        <v>137</v>
      </c>
      <c r="H41" s="94" t="s">
        <v>138</v>
      </c>
      <c r="I41" s="26" t="s">
        <v>30</v>
      </c>
    </row>
    <row r="42" ht="22.5" customHeight="1">
      <c r="A42" s="12">
        <f t="shared" si="1"/>
        <v>32</v>
      </c>
      <c r="B42" s="29" t="s">
        <v>97</v>
      </c>
      <c r="C42" s="29" t="s">
        <v>139</v>
      </c>
      <c r="D42" s="95">
        <v>4.0</v>
      </c>
      <c r="E42" s="60" t="s">
        <v>140</v>
      </c>
      <c r="F42" s="23"/>
      <c r="G42" s="33" t="s">
        <v>141</v>
      </c>
      <c r="H42" s="34" t="s">
        <v>142</v>
      </c>
      <c r="I42" s="26" t="s">
        <v>35</v>
      </c>
    </row>
    <row r="43" ht="195.75" customHeight="1">
      <c r="A43" s="12">
        <f t="shared" si="1"/>
        <v>33</v>
      </c>
      <c r="B43" s="65" t="s">
        <v>25</v>
      </c>
      <c r="C43" s="65" t="s">
        <v>139</v>
      </c>
      <c r="D43" s="96">
        <v>4.0</v>
      </c>
      <c r="E43" s="67" t="s">
        <v>143</v>
      </c>
      <c r="F43" s="97"/>
      <c r="G43" s="38" t="s">
        <v>144</v>
      </c>
      <c r="H43" s="39" t="s">
        <v>145</v>
      </c>
      <c r="I43" s="19" t="s">
        <v>146</v>
      </c>
    </row>
    <row r="44" ht="174.75" customHeight="1">
      <c r="A44" s="12">
        <f t="shared" si="1"/>
        <v>34</v>
      </c>
      <c r="B44" s="29" t="s">
        <v>97</v>
      </c>
      <c r="C44" s="29" t="s">
        <v>139</v>
      </c>
      <c r="D44" s="69">
        <v>3.0</v>
      </c>
      <c r="E44" s="60" t="s">
        <v>147</v>
      </c>
      <c r="F44" s="23"/>
      <c r="G44" s="33" t="s">
        <v>148</v>
      </c>
      <c r="H44" s="34" t="s">
        <v>149</v>
      </c>
      <c r="I44" s="26" t="s">
        <v>53</v>
      </c>
    </row>
    <row r="45" ht="237.75" customHeight="1">
      <c r="A45" s="12">
        <f t="shared" si="1"/>
        <v>35</v>
      </c>
      <c r="B45" s="20" t="s">
        <v>97</v>
      </c>
      <c r="C45" s="20" t="s">
        <v>139</v>
      </c>
      <c r="D45" s="21">
        <v>3.0</v>
      </c>
      <c r="E45" s="72" t="s">
        <v>150</v>
      </c>
      <c r="F45" s="98"/>
      <c r="G45" s="24" t="s">
        <v>151</v>
      </c>
      <c r="H45" s="25" t="s">
        <v>152</v>
      </c>
      <c r="I45" s="26" t="s">
        <v>153</v>
      </c>
    </row>
    <row r="46" ht="205.5" customHeight="1">
      <c r="A46" s="12">
        <f t="shared" si="1"/>
        <v>36</v>
      </c>
      <c r="B46" s="29" t="s">
        <v>111</v>
      </c>
      <c r="C46" s="29" t="s">
        <v>139</v>
      </c>
      <c r="D46" s="30">
        <v>3.0</v>
      </c>
      <c r="E46" s="60" t="s">
        <v>154</v>
      </c>
      <c r="F46" s="99"/>
      <c r="G46" s="61" t="s">
        <v>155</v>
      </c>
      <c r="H46" s="100" t="s">
        <v>156</v>
      </c>
      <c r="I46" s="26" t="s">
        <v>61</v>
      </c>
    </row>
    <row r="47" ht="22.5" customHeight="1">
      <c r="A47" s="12">
        <f t="shared" si="1"/>
        <v>37</v>
      </c>
      <c r="B47" s="35" t="s">
        <v>49</v>
      </c>
      <c r="C47" s="35" t="s">
        <v>139</v>
      </c>
      <c r="D47" s="36">
        <v>2.0</v>
      </c>
      <c r="E47" s="67" t="s">
        <v>157</v>
      </c>
      <c r="F47" s="23"/>
      <c r="G47" s="101" t="s">
        <v>158</v>
      </c>
      <c r="H47" s="39" t="s">
        <v>159</v>
      </c>
      <c r="I47" s="26" t="s">
        <v>35</v>
      </c>
    </row>
    <row r="48" ht="166.5" customHeight="1">
      <c r="A48" s="12">
        <f t="shared" si="1"/>
        <v>38</v>
      </c>
      <c r="B48" s="13" t="s">
        <v>111</v>
      </c>
      <c r="C48" s="13" t="s">
        <v>139</v>
      </c>
      <c r="D48" s="102">
        <v>2.0</v>
      </c>
      <c r="E48" s="15" t="s">
        <v>160</v>
      </c>
      <c r="F48" s="23"/>
      <c r="G48" s="55" t="s">
        <v>161</v>
      </c>
      <c r="H48" s="18" t="s">
        <v>162</v>
      </c>
      <c r="I48" s="26" t="s">
        <v>35</v>
      </c>
    </row>
    <row r="49" ht="108.75" customHeight="1">
      <c r="A49" s="12">
        <f t="shared" si="1"/>
        <v>39</v>
      </c>
      <c r="B49" s="20" t="s">
        <v>111</v>
      </c>
      <c r="C49" s="20" t="s">
        <v>139</v>
      </c>
      <c r="D49" s="103">
        <v>2.0</v>
      </c>
      <c r="E49" s="57" t="s">
        <v>163</v>
      </c>
      <c r="F49" s="48"/>
      <c r="G49" s="24" t="s">
        <v>164</v>
      </c>
      <c r="H49" s="25" t="s">
        <v>165</v>
      </c>
      <c r="I49" s="26" t="s">
        <v>35</v>
      </c>
    </row>
    <row r="50" ht="198.0" customHeight="1">
      <c r="A50" s="12">
        <f t="shared" si="1"/>
        <v>40</v>
      </c>
      <c r="B50" s="13" t="s">
        <v>62</v>
      </c>
      <c r="C50" s="13" t="s">
        <v>139</v>
      </c>
      <c r="D50" s="102">
        <v>2.0</v>
      </c>
      <c r="E50" s="15" t="s">
        <v>166</v>
      </c>
      <c r="F50" s="23"/>
      <c r="G50" s="55" t="s">
        <v>167</v>
      </c>
      <c r="H50" s="18" t="s">
        <v>168</v>
      </c>
      <c r="I50" s="26" t="s">
        <v>35</v>
      </c>
      <c r="J50" s="63"/>
      <c r="K50" s="63"/>
      <c r="L50" s="63"/>
      <c r="M50" s="63"/>
      <c r="N50" s="63"/>
      <c r="O50" s="63"/>
      <c r="P50" s="63"/>
      <c r="Q50" s="63"/>
      <c r="R50" s="63"/>
      <c r="S50" s="63"/>
      <c r="T50" s="63"/>
      <c r="U50" s="63"/>
      <c r="V50" s="63"/>
      <c r="W50" s="63"/>
      <c r="X50" s="63"/>
      <c r="Y50" s="63"/>
      <c r="Z50" s="63"/>
      <c r="AA50" s="63"/>
      <c r="AB50" s="63"/>
      <c r="AC50" s="63"/>
      <c r="AD50" s="63"/>
      <c r="AE50" s="63"/>
      <c r="AF50" s="63"/>
    </row>
    <row r="51" ht="174.75" customHeight="1">
      <c r="A51" s="12">
        <f t="shared" si="1"/>
        <v>41</v>
      </c>
      <c r="B51" s="65" t="s">
        <v>107</v>
      </c>
      <c r="C51" s="65" t="s">
        <v>139</v>
      </c>
      <c r="D51" s="88">
        <v>2.0</v>
      </c>
      <c r="E51" s="22" t="s">
        <v>169</v>
      </c>
      <c r="F51" s="23"/>
      <c r="G51" s="38" t="s">
        <v>170</v>
      </c>
      <c r="H51" s="39" t="s">
        <v>171</v>
      </c>
      <c r="I51" s="26" t="s">
        <v>35</v>
      </c>
      <c r="J51" s="63"/>
      <c r="K51" s="63"/>
      <c r="L51" s="63"/>
      <c r="M51" s="63"/>
      <c r="N51" s="63"/>
      <c r="O51" s="63"/>
      <c r="P51" s="63"/>
      <c r="Q51" s="63"/>
      <c r="R51" s="63"/>
      <c r="S51" s="63"/>
      <c r="T51" s="63"/>
      <c r="U51" s="63"/>
      <c r="V51" s="63"/>
      <c r="W51" s="63"/>
      <c r="X51" s="63"/>
      <c r="Y51" s="63"/>
      <c r="Z51" s="63"/>
      <c r="AA51" s="63"/>
      <c r="AB51" s="63"/>
      <c r="AC51" s="63"/>
      <c r="AD51" s="63"/>
      <c r="AE51" s="63"/>
      <c r="AF51" s="63"/>
    </row>
    <row r="52" ht="173.25" customHeight="1">
      <c r="A52" s="12">
        <f t="shared" si="1"/>
        <v>42</v>
      </c>
      <c r="B52" s="13" t="s">
        <v>62</v>
      </c>
      <c r="C52" s="13" t="s">
        <v>139</v>
      </c>
      <c r="D52" s="102">
        <v>2.0</v>
      </c>
      <c r="E52" s="15" t="s">
        <v>172</v>
      </c>
      <c r="F52" s="104"/>
      <c r="G52" s="55" t="s">
        <v>173</v>
      </c>
      <c r="H52" s="18" t="s">
        <v>174</v>
      </c>
      <c r="I52" s="19" t="s">
        <v>175</v>
      </c>
      <c r="J52" s="63"/>
      <c r="K52" s="63"/>
      <c r="L52" s="63"/>
      <c r="M52" s="63"/>
      <c r="N52" s="63"/>
      <c r="O52" s="63"/>
      <c r="P52" s="63"/>
      <c r="Q52" s="63"/>
      <c r="R52" s="63"/>
      <c r="S52" s="63"/>
      <c r="T52" s="63"/>
      <c r="U52" s="63"/>
      <c r="V52" s="63"/>
      <c r="W52" s="63"/>
      <c r="X52" s="63"/>
      <c r="Y52" s="63"/>
      <c r="Z52" s="63"/>
      <c r="AA52" s="63"/>
      <c r="AB52" s="63"/>
      <c r="AC52" s="63"/>
      <c r="AD52" s="63"/>
      <c r="AE52" s="63"/>
      <c r="AF52" s="63"/>
    </row>
    <row r="53" ht="165.0" customHeight="1">
      <c r="A53" s="12">
        <f t="shared" si="1"/>
        <v>43</v>
      </c>
      <c r="B53" s="29" t="s">
        <v>75</v>
      </c>
      <c r="C53" s="29" t="s">
        <v>139</v>
      </c>
      <c r="D53" s="89">
        <v>2.0</v>
      </c>
      <c r="E53" s="60" t="s">
        <v>176</v>
      </c>
      <c r="F53" s="23"/>
      <c r="G53" s="33" t="s">
        <v>177</v>
      </c>
      <c r="H53" s="34" t="s">
        <v>178</v>
      </c>
      <c r="I53" s="19" t="s">
        <v>30</v>
      </c>
    </row>
    <row r="54" ht="126.75" customHeight="1">
      <c r="A54" s="12">
        <f t="shared" si="1"/>
        <v>44</v>
      </c>
      <c r="B54" s="65" t="s">
        <v>67</v>
      </c>
      <c r="C54" s="65" t="s">
        <v>139</v>
      </c>
      <c r="D54" s="105">
        <v>0.0</v>
      </c>
      <c r="E54" s="22" t="s">
        <v>179</v>
      </c>
      <c r="F54" s="97"/>
      <c r="G54" s="38" t="s">
        <v>180</v>
      </c>
      <c r="H54" s="39" t="s">
        <v>181</v>
      </c>
      <c r="I54" s="26" t="s">
        <v>71</v>
      </c>
    </row>
    <row r="55" ht="22.5" customHeight="1">
      <c r="A55" s="12">
        <f t="shared" si="1"/>
        <v>45</v>
      </c>
      <c r="B55" s="29" t="s">
        <v>25</v>
      </c>
      <c r="C55" s="40" t="s">
        <v>182</v>
      </c>
      <c r="D55" s="41">
        <v>4.0</v>
      </c>
      <c r="E55" s="31" t="s">
        <v>183</v>
      </c>
      <c r="F55" s="23"/>
      <c r="G55" s="61" t="s">
        <v>184</v>
      </c>
      <c r="H55" s="90" t="s">
        <v>185</v>
      </c>
      <c r="I55" s="26" t="s">
        <v>186</v>
      </c>
    </row>
    <row r="56" ht="22.5" customHeight="1">
      <c r="A56" s="12">
        <f t="shared" si="1"/>
        <v>46</v>
      </c>
      <c r="B56" s="86" t="s">
        <v>39</v>
      </c>
      <c r="C56" s="86" t="s">
        <v>182</v>
      </c>
      <c r="D56" s="106">
        <v>3.0</v>
      </c>
      <c r="E56" s="15" t="s">
        <v>187</v>
      </c>
      <c r="F56" s="76"/>
      <c r="G56" s="55" t="s">
        <v>188</v>
      </c>
      <c r="H56" s="18" t="s">
        <v>189</v>
      </c>
      <c r="I56" s="26" t="s">
        <v>57</v>
      </c>
    </row>
    <row r="57" ht="183.0" customHeight="1">
      <c r="A57" s="12">
        <f t="shared" si="1"/>
        <v>47</v>
      </c>
      <c r="B57" s="20" t="s">
        <v>75</v>
      </c>
      <c r="C57" s="20" t="s">
        <v>182</v>
      </c>
      <c r="D57" s="93">
        <v>3.0</v>
      </c>
      <c r="E57" s="57" t="s">
        <v>190</v>
      </c>
      <c r="F57" s="23"/>
      <c r="G57" s="24" t="s">
        <v>191</v>
      </c>
      <c r="H57" s="25" t="s">
        <v>192</v>
      </c>
      <c r="I57" s="26" t="s">
        <v>71</v>
      </c>
    </row>
    <row r="58" ht="186.0" customHeight="1">
      <c r="A58" s="12">
        <f t="shared" si="1"/>
        <v>48</v>
      </c>
      <c r="B58" s="75" t="s">
        <v>31</v>
      </c>
      <c r="C58" s="13" t="s">
        <v>182</v>
      </c>
      <c r="D58" s="73">
        <v>3.0</v>
      </c>
      <c r="E58" s="15" t="s">
        <v>193</v>
      </c>
      <c r="F58" s="104"/>
      <c r="G58" s="55" t="s">
        <v>194</v>
      </c>
      <c r="H58" s="18" t="s">
        <v>195</v>
      </c>
      <c r="I58" s="26" t="s">
        <v>71</v>
      </c>
    </row>
    <row r="59" ht="181.5" customHeight="1">
      <c r="A59" s="12">
        <f t="shared" si="1"/>
        <v>49</v>
      </c>
      <c r="B59" s="92" t="s">
        <v>44</v>
      </c>
      <c r="C59" s="107" t="s">
        <v>182</v>
      </c>
      <c r="D59" s="108">
        <v>3.0</v>
      </c>
      <c r="E59" s="72" t="s">
        <v>196</v>
      </c>
      <c r="F59" s="23"/>
      <c r="G59" s="109" t="s">
        <v>197</v>
      </c>
      <c r="H59" s="58" t="s">
        <v>198</v>
      </c>
      <c r="I59" s="26" t="s">
        <v>71</v>
      </c>
    </row>
    <row r="60" ht="22.5" customHeight="1">
      <c r="A60" s="12">
        <f t="shared" si="1"/>
        <v>50</v>
      </c>
      <c r="B60" s="13" t="s">
        <v>31</v>
      </c>
      <c r="C60" s="13" t="s">
        <v>182</v>
      </c>
      <c r="D60" s="110">
        <v>2.0</v>
      </c>
      <c r="E60" s="54" t="s">
        <v>199</v>
      </c>
      <c r="F60" s="104"/>
      <c r="G60" s="55" t="s">
        <v>200</v>
      </c>
      <c r="H60" s="111" t="s">
        <v>201</v>
      </c>
      <c r="I60" s="26" t="s">
        <v>71</v>
      </c>
    </row>
    <row r="61" ht="143.25" customHeight="1">
      <c r="A61" s="12">
        <f t="shared" si="1"/>
        <v>51</v>
      </c>
      <c r="B61" s="82" t="s">
        <v>67</v>
      </c>
      <c r="C61" s="82" t="s">
        <v>182</v>
      </c>
      <c r="D61" s="112">
        <v>1.0</v>
      </c>
      <c r="E61" s="113" t="s">
        <v>202</v>
      </c>
      <c r="F61" s="114"/>
      <c r="G61" s="115" t="s">
        <v>203</v>
      </c>
      <c r="H61" s="116" t="s">
        <v>204</v>
      </c>
      <c r="I61" s="26" t="s">
        <v>71</v>
      </c>
    </row>
    <row r="62" ht="117.75" customHeight="1">
      <c r="A62" s="12">
        <f t="shared" si="1"/>
        <v>52</v>
      </c>
      <c r="B62" s="65" t="s">
        <v>75</v>
      </c>
      <c r="C62" s="65" t="s">
        <v>205</v>
      </c>
      <c r="D62" s="105">
        <v>2.0</v>
      </c>
      <c r="E62" s="22" t="s">
        <v>206</v>
      </c>
      <c r="F62" s="23"/>
      <c r="G62" s="38" t="s">
        <v>207</v>
      </c>
      <c r="H62" s="39" t="s">
        <v>208</v>
      </c>
      <c r="I62" s="26" t="s">
        <v>53</v>
      </c>
    </row>
    <row r="63" ht="209.25" customHeight="1">
      <c r="A63" s="12">
        <f t="shared" si="1"/>
        <v>53</v>
      </c>
      <c r="B63" s="29" t="s">
        <v>62</v>
      </c>
      <c r="C63" s="117" t="s">
        <v>205</v>
      </c>
      <c r="D63" s="118">
        <v>1.0</v>
      </c>
      <c r="E63" s="60" t="s">
        <v>209</v>
      </c>
      <c r="F63" s="98"/>
      <c r="G63" s="33" t="s">
        <v>210</v>
      </c>
      <c r="H63" s="34" t="s">
        <v>211</v>
      </c>
      <c r="I63" s="26" t="s">
        <v>35</v>
      </c>
    </row>
  </sheetData>
  <customSheetViews>
    <customSheetView guid="{8E96D602-C3D4-4448-A07B-DC84DD68F9F0}" filter="1" showAutoFilter="1">
      <autoFilter ref="$A$10:$I$63"/>
    </customSheetView>
    <customSheetView guid="{FF047794-2786-47A4-86B9-1E422EE7686B}" filter="1" showAutoFilter="1">
      <autoFilter ref="$A$10:$I$63"/>
    </customSheetView>
  </customSheetViews>
  <mergeCells count="2">
    <mergeCell ref="B1:E1"/>
    <mergeCell ref="D3:E3"/>
  </mergeCells>
  <dataValidations>
    <dataValidation type="list" allowBlank="1" sqref="B11:B63">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1:D63">
      <formula1>"0,1,2,3,4"</formula1>
    </dataValidation>
    <dataValidation type="list" allowBlank="1" sqref="I11:I63">
      <formula1>"A,B,C,D"</formula1>
    </dataValidation>
    <dataValidation type="list" allowBlank="1" sqref="C11:C63">
      <formula1>"1. Simple Task,2. Moderate Task,3. Complex Task,4. All Tasks,5. Extra Violations"</formula1>
    </dataValidation>
  </dataValidations>
  <drawing r:id="rId1"/>
  <tableParts count="1">
    <tablePart r:id="rId3"/>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119" t="s">
        <v>212</v>
      </c>
      <c r="B1" s="120" t="s">
        <v>213</v>
      </c>
      <c r="C1" s="120" t="s">
        <v>214</v>
      </c>
      <c r="D1" s="120" t="s">
        <v>215</v>
      </c>
      <c r="E1" s="120" t="s">
        <v>216</v>
      </c>
      <c r="F1" s="120" t="s">
        <v>217</v>
      </c>
      <c r="G1" s="121" t="s">
        <v>218</v>
      </c>
      <c r="I1" s="122"/>
      <c r="J1" s="122"/>
      <c r="K1" s="122"/>
      <c r="L1" s="122"/>
    </row>
    <row r="2">
      <c r="A2" s="123" t="s">
        <v>49</v>
      </c>
      <c r="B2" s="124">
        <f>COUNTIFS('Group Heuristic Evaluation'!B:B, "H1: Visibility of System Status", 'Group Heuristic Evaluation'!D:D, 0)</f>
        <v>0</v>
      </c>
      <c r="C2" s="124">
        <f>COUNTIFS('Group Heuristic Evaluation'!B:B, "H1: Visibility of System Status", 'Group Heuristic Evaluation'!D:D, 1)</f>
        <v>0</v>
      </c>
      <c r="D2" s="125">
        <f>COUNTIFS('Group Heuristic Evaluation'!B:B, "H1: Visibility of System Status", 'Group Heuristic Evaluation'!D:D, 2)</f>
        <v>6</v>
      </c>
      <c r="E2" s="125">
        <f>COUNTIFS('Group Heuristic Evaluation'!B:B, "H1: Visibility of System Status", 'Group Heuristic Evaluation'!D:D, 3)</f>
        <v>1</v>
      </c>
      <c r="F2" s="125">
        <f>COUNTIFS('Group Heuristic Evaluation'!B:B, "H1: Visibility of System Status", 'Group Heuristic Evaluation'!D:D, 4)</f>
        <v>0</v>
      </c>
      <c r="G2" s="126">
        <f t="shared" ref="G2:G5" si="1">SUM(B2:F2)</f>
        <v>7</v>
      </c>
      <c r="I2" s="122"/>
      <c r="J2" s="122"/>
      <c r="K2" s="122"/>
      <c r="L2" s="122"/>
    </row>
    <row r="3">
      <c r="A3" s="127" t="s">
        <v>75</v>
      </c>
      <c r="B3" s="124">
        <f>COUNTIFS('Group Heuristic Evaluation'!B:B, "H2: Match b/w System &amp; World", 'Group Heuristic Evaluation'!D:D, 0)</f>
        <v>0</v>
      </c>
      <c r="C3" s="125">
        <f>COUNTIFS('Group Heuristic Evaluation'!B:B, "H2: Match b/w System &amp; World", 'Group Heuristic Evaluation'!D:D, 1)</f>
        <v>1</v>
      </c>
      <c r="D3" s="125">
        <f>COUNTIFS('Group Heuristic Evaluation'!B:B, "H2: Match b/w System &amp; World", 'Group Heuristic Evaluation'!D:D, 2)</f>
        <v>2</v>
      </c>
      <c r="E3" s="125">
        <f>COUNTIFS('Group Heuristic Evaluation'!B:B, "H2: Match b/w System &amp; World", 'Group Heuristic Evaluation'!D:D, 3)</f>
        <v>3</v>
      </c>
      <c r="F3" s="125">
        <f>COUNTIFS('Group Heuristic Evaluation'!B:B, "H2: Match b/w System &amp; World", 'Group Heuristic Evaluation'!D:D, 4)</f>
        <v>0</v>
      </c>
      <c r="G3" s="128">
        <f t="shared" si="1"/>
        <v>6</v>
      </c>
      <c r="I3" s="122"/>
      <c r="J3" s="122"/>
      <c r="K3" s="122"/>
      <c r="L3" s="122"/>
    </row>
    <row r="4">
      <c r="A4" s="127" t="s">
        <v>97</v>
      </c>
      <c r="B4" s="124">
        <f>COUNTIFS('Group Heuristic Evaluation'!B:B, "H3: User Control &amp; Freedom", 'Group Heuristic Evaluation'!D:D, 0)</f>
        <v>0</v>
      </c>
      <c r="C4" s="125">
        <f>COUNTIFS('Group Heuristic Evaluation'!B:B, "H3: User Control &amp; Freedom", 'Group Heuristic Evaluation'!D:D, 1)</f>
        <v>0</v>
      </c>
      <c r="D4" s="125">
        <f>COUNTIFS('Group Heuristic Evaluation'!B:B, "H3: User Control &amp; Freedom", 'Group Heuristic Evaluation'!D:D, 2)</f>
        <v>0</v>
      </c>
      <c r="E4" s="125">
        <f>COUNTIFS('Group Heuristic Evaluation'!B:B, "H3: User Control &amp; Freedom", 'Group Heuristic Evaluation'!D:D, 3)</f>
        <v>3</v>
      </c>
      <c r="F4" s="125">
        <f>COUNTIFS('Group Heuristic Evaluation'!B:B, "H3: User Control &amp; Freedom", 'Group Heuristic Evaluation'!D:D, 4)</f>
        <v>1</v>
      </c>
      <c r="G4" s="128">
        <f t="shared" si="1"/>
        <v>4</v>
      </c>
      <c r="I4" s="122"/>
      <c r="J4" s="122"/>
      <c r="K4" s="122"/>
      <c r="L4" s="122"/>
    </row>
    <row r="5">
      <c r="A5" s="127" t="s">
        <v>67</v>
      </c>
      <c r="B5" s="124">
        <f>COUNTIFS('Group Heuristic Evaluation'!B:B, "H4: Consistency &amp; Standards", 'Group Heuristic Evaluation'!D:D, 0)</f>
        <v>1</v>
      </c>
      <c r="C5" s="125">
        <f>COUNTIFS('Group Heuristic Evaluation'!B:B, "H4: Consistency &amp; Standards", 'Group Heuristic Evaluation'!D:D, 1)</f>
        <v>3</v>
      </c>
      <c r="D5" s="125">
        <f>COUNTIFS('Group Heuristic Evaluation'!B:B, "H4: Consistency &amp; Standards", 'Group Heuristic Evaluation'!D:D, 2)</f>
        <v>4</v>
      </c>
      <c r="E5" s="125">
        <f>COUNTIFS('Group Heuristic Evaluation'!B:B, "H4: Consistency &amp; Standards", 'Group Heuristic Evaluation'!D:D, 3)</f>
        <v>1</v>
      </c>
      <c r="F5" s="125">
        <f>COUNTIFS('Group Heuristic Evaluation'!B:B, "H4: Consistency &amp; Standards", 'Group Heuristic Evaluation'!D:D, 4)</f>
        <v>0</v>
      </c>
      <c r="G5" s="128">
        <f t="shared" si="1"/>
        <v>9</v>
      </c>
      <c r="I5" s="122"/>
      <c r="J5" s="122"/>
      <c r="K5" s="122"/>
      <c r="L5" s="122"/>
    </row>
    <row r="6">
      <c r="A6" s="127" t="s">
        <v>111</v>
      </c>
      <c r="B6" s="124">
        <f>COUNTIFS('Group Heuristic Evaluation'!B:B, "H5: Error Prevention", 'Group Heuristic Evaluation'!D:D, 0)</f>
        <v>0</v>
      </c>
      <c r="C6" s="125">
        <f>COUNTIFS('Group Heuristic Evaluation'!B:B, "H5: Error Prevention", 'Group Heuristic Evaluation'!D:D, 1)</f>
        <v>0</v>
      </c>
      <c r="D6" s="125">
        <f>COUNTIFS('Group Heuristic Evaluation'!B:B, "H5: Error Prevention", 'Group Heuristic Evaluation'!D:D, 2)</f>
        <v>2</v>
      </c>
      <c r="E6" s="125">
        <f>COUNTIFS('Group Heuristic Evaluation'!B:B, "H5: Error Prevention", 'Group Heuristic Evaluation'!D:D, 3)</f>
        <v>3</v>
      </c>
      <c r="F6" s="125">
        <f>COUNTIFS('Group Heuristic Evaluation'!B:B, "H5: Error Prevention", 'Group Heuristic Evaluation'!D:D, 4)</f>
        <v>0</v>
      </c>
      <c r="G6" s="128">
        <f>SUM(C6:F6)</f>
        <v>5</v>
      </c>
      <c r="I6" s="122"/>
      <c r="J6" s="122"/>
      <c r="K6" s="122"/>
      <c r="L6" s="122"/>
    </row>
    <row r="7">
      <c r="A7" s="127" t="s">
        <v>62</v>
      </c>
      <c r="B7" s="124">
        <f>COUNTIFS('Group Heuristic Evaluation'!B:B, "H6: Recognition not Recall", 'Group Heuristic Evaluation'!D:D, 0)</f>
        <v>0</v>
      </c>
      <c r="C7" s="125">
        <f>COUNTIFS('Group Heuristic Evaluation'!B:B, "H6: Recognition not Recall", 'Group Heuristic Evaluation'!D:D, 1)</f>
        <v>1</v>
      </c>
      <c r="D7" s="125">
        <f>COUNTIFS('Group Heuristic Evaluation'!B:B, "H6: Recognition not Recall", 'Group Heuristic Evaluation'!D:D, 2)</f>
        <v>3</v>
      </c>
      <c r="E7" s="125">
        <f>COUNTIFS('Group Heuristic Evaluation'!B:B, "H6: Recognition not Recall", 'Group Heuristic Evaluation'!D:D, 3)</f>
        <v>1</v>
      </c>
      <c r="F7" s="125">
        <f>COUNTIFS('Group Heuristic Evaluation'!B:B, "H6: Recognition not Recall", 'Group Heuristic Evaluation'!D:D, 4)</f>
        <v>0</v>
      </c>
      <c r="G7" s="128">
        <f t="shared" ref="G7:G13" si="2">SUM(B7:F7)</f>
        <v>5</v>
      </c>
      <c r="I7" s="122"/>
      <c r="J7" s="122"/>
      <c r="K7" s="122"/>
      <c r="L7" s="122"/>
    </row>
    <row r="8">
      <c r="A8" s="127" t="s">
        <v>107</v>
      </c>
      <c r="B8" s="124">
        <f>COUNTIFS('Group Heuristic Evaluation'!B:B, "H7: Flexibility &amp; Efficiency of Use", 'Group Heuristic Evaluation'!D:D, 0)</f>
        <v>0</v>
      </c>
      <c r="C8" s="125">
        <f>COUNTIFS('Group Heuristic Evaluation'!B:B, "H7: Flexibility &amp; Efficiency of Use", 'Group Heuristic Evaluation'!D:D, 1)</f>
        <v>0</v>
      </c>
      <c r="D8" s="125">
        <f>COUNTIFS('Group Heuristic Evaluation'!B:B, "H7: Flexibility &amp; Efficiency of Use", 'Group Heuristic Evaluation'!D:D, 2)</f>
        <v>2</v>
      </c>
      <c r="E8" s="125">
        <f>COUNTIFS('Group Heuristic Evaluation'!B:B, "H7: Flexibility &amp; Efficiency of Use", 'Group Heuristic Evaluation'!D:D, 3)</f>
        <v>1</v>
      </c>
      <c r="F8" s="125">
        <f>COUNTIFS('Group Heuristic Evaluation'!B:B, "H7: Flexibility &amp; Efficiency of Use", 'Group Heuristic Evaluation'!D:D, 4)</f>
        <v>0</v>
      </c>
      <c r="G8" s="128">
        <f t="shared" si="2"/>
        <v>3</v>
      </c>
      <c r="I8" s="122"/>
      <c r="J8" s="122"/>
      <c r="K8" s="122"/>
      <c r="L8" s="122"/>
    </row>
    <row r="9">
      <c r="A9" s="127" t="s">
        <v>31</v>
      </c>
      <c r="B9" s="124">
        <f>COUNTIFS('Group Heuristic Evaluation'!B:B, "H8: Aesthetic &amp; Minimalist Design", 'Group Heuristic Evaluation'!D:D, 0)</f>
        <v>0</v>
      </c>
      <c r="C9" s="129">
        <f>COUNTIFS('Group Heuristic Evaluation'!B:B, "H8: Aesthetic &amp; Minimalist Design", 'Group Heuristic Evaluation'!D:D, 1)</f>
        <v>1</v>
      </c>
      <c r="D9" s="129">
        <f>COUNTIFS('Group Heuristic Evaluation'!B:B, "H8: Aesthetic &amp; Minimalist Design", 'Group Heuristic Evaluation'!D:D, 2)</f>
        <v>1</v>
      </c>
      <c r="E9" s="129">
        <f>COUNTIFS('Group Heuristic Evaluation'!B:B, "H8: Aesthetic &amp; Minimalist Design", 'Group Heuristic Evaluation'!D:D, 3)</f>
        <v>3</v>
      </c>
      <c r="F9" s="129">
        <f>COUNTIFS('Group Heuristic Evaluation'!B:B, "H8: Aesthetic &amp; Minimalist Design", 'Group Heuristic Evaluation'!D:D, 4)</f>
        <v>0</v>
      </c>
      <c r="G9" s="128">
        <f t="shared" si="2"/>
        <v>5</v>
      </c>
      <c r="I9" s="122"/>
      <c r="J9" s="122"/>
      <c r="K9" s="122"/>
      <c r="L9" s="122"/>
    </row>
    <row r="10">
      <c r="A10" s="127" t="s">
        <v>219</v>
      </c>
      <c r="B10" s="124">
        <f>COUNTIFS('Group Heuristic Evaluation'!B:B, "H9: Help Users with Errors", 'Group Heuristic Evaluation'!D:D, 0)</f>
        <v>0</v>
      </c>
      <c r="C10" s="129">
        <f>COUNTIFS('Group Heuristic Evaluation'!B:B, "H9: Help Users with Errors", 'Group Heuristic Evaluation'!D:D, 1)</f>
        <v>0</v>
      </c>
      <c r="D10" s="129">
        <f>COUNTIFS('Group Heuristic Evaluation'!B:B, "H9: Help Users with Errors", 'Group Heuristic Evaluation'!D:D, 2)</f>
        <v>0</v>
      </c>
      <c r="E10" s="129">
        <f>COUNTIFS('Group Heuristic Evaluation'!B:B, "H9: Help Users with Errors", 'Group Heuristic Evaluation'!D:D, 3)</f>
        <v>0</v>
      </c>
      <c r="F10" s="129">
        <f>COUNTIFS('Group Heuristic Evaluation'!B:B, "H9: Help Users with Errors", 'Group Heuristic Evaluation'!D:D, 4)</f>
        <v>0</v>
      </c>
      <c r="G10" s="128">
        <f t="shared" si="2"/>
        <v>0</v>
      </c>
      <c r="H10" s="130" t="s">
        <v>220</v>
      </c>
      <c r="I10" s="122"/>
      <c r="J10" s="122"/>
      <c r="K10" s="122"/>
      <c r="L10" s="122"/>
    </row>
    <row r="11">
      <c r="A11" s="127" t="s">
        <v>39</v>
      </c>
      <c r="B11" s="124">
        <f>COUNTIFS('Group Heuristic Evaluation'!B:B, "H10: Help &amp; Documentation", 'Group Heuristic Evaluation'!D:D, 0)</f>
        <v>0</v>
      </c>
      <c r="C11" s="129">
        <f>COUNTIFS('Group Heuristic Evaluation'!B:B, "H10: Help &amp; Documentation", 'Group Heuristic Evaluation'!D:D, 1)</f>
        <v>0</v>
      </c>
      <c r="D11" s="129">
        <f>COUNTIFS('Group Heuristic Evaluation'!B:B, "H10: Help &amp; Documentation", 'Group Heuristic Evaluation'!D:D, 2)</f>
        <v>0</v>
      </c>
      <c r="E11" s="129">
        <f>COUNTIFS('Group Heuristic Evaluation'!B:B, "H10: Help &amp; Documentation", 'Group Heuristic Evaluation'!D:D, 3)</f>
        <v>2</v>
      </c>
      <c r="F11" s="129">
        <f>COUNTIFS('Group Heuristic Evaluation'!B:B, "H10: Help &amp; Documentation", 'Group Heuristic Evaluation'!D:D, 4)</f>
        <v>0</v>
      </c>
      <c r="G11" s="128">
        <f t="shared" si="2"/>
        <v>2</v>
      </c>
      <c r="I11" s="122"/>
      <c r="J11" s="122"/>
      <c r="K11" s="122"/>
      <c r="L11" s="122"/>
    </row>
    <row r="12">
      <c r="A12" s="127" t="s">
        <v>44</v>
      </c>
      <c r="B12" s="124">
        <f>COUNTIFS('Group Heuristic Evaluation'!B:B, "H11: Accessible Design", 'Group Heuristic Evaluation'!D:D, 0)</f>
        <v>0</v>
      </c>
      <c r="C12" s="129">
        <f>COUNTIFS('Group Heuristic Evaluation'!B:B, "H11: Accessible Design", 'Group Heuristic Evaluation'!D:D, 1)</f>
        <v>0</v>
      </c>
      <c r="D12" s="129">
        <f>COUNTIFS('Group Heuristic Evaluation'!B:B, "H11: Accessible Design", 'Group Heuristic Evaluation'!D:D, 2)</f>
        <v>2</v>
      </c>
      <c r="E12" s="129">
        <f>COUNTIFS('Group Heuristic Evaluation'!B:B, "H11: Accessible Design", 'Group Heuristic Evaluation'!D:D, 3)</f>
        <v>2</v>
      </c>
      <c r="F12" s="129">
        <f>COUNTIFS('Group Heuristic Evaluation'!B:B, "H11: Accessible Design", 'Group Heuristic Evaluation'!D:D, 4)</f>
        <v>0</v>
      </c>
      <c r="G12" s="128">
        <f t="shared" si="2"/>
        <v>4</v>
      </c>
      <c r="I12" s="122"/>
      <c r="J12" s="122"/>
      <c r="K12" s="122"/>
      <c r="L12" s="122"/>
    </row>
    <row r="13">
      <c r="A13" s="127" t="s">
        <v>221</v>
      </c>
      <c r="B13" s="124">
        <f>COUNTIFS('Group Heuristic Evaluation'!B:B, "H12: Value Alignment &amp; Inclusion", 'Group Heuristic Evaluation'!D:D, 0)</f>
        <v>0</v>
      </c>
      <c r="C13" s="129">
        <f>COUNTIFS('Group Heuristic Evaluation'!B:B, "H12: Value Alignment &amp; Inclusion", 'Group Heuristic Evaluation'!D:D, 1)</f>
        <v>0</v>
      </c>
      <c r="D13" s="129">
        <f>COUNTIFS('Group Heuristic Evaluation'!B:B, "H12: Value Alignment &amp; Inclusion", 'Group Heuristic Evaluation'!D:D, 2)</f>
        <v>0</v>
      </c>
      <c r="E13" s="129">
        <f>COUNTIFS('Group Heuristic Evaluation'!B:B, "H12: Value Alignment &amp; Inclusion", 'Group Heuristic Evaluation'!D:D, 3)</f>
        <v>0</v>
      </c>
      <c r="F13" s="129">
        <f>COUNTIFS('Group Heuristic Evaluation'!B:B, "H12: Value Alignment &amp; Inclusion", 'Group Heuristic Evaluation'!D:D, 4)</f>
        <v>3</v>
      </c>
      <c r="G13" s="128">
        <f t="shared" si="2"/>
        <v>3</v>
      </c>
      <c r="I13" s="122"/>
      <c r="J13" s="122"/>
      <c r="K13" s="122"/>
      <c r="L13" s="122"/>
    </row>
    <row r="14">
      <c r="A14" s="131" t="s">
        <v>222</v>
      </c>
      <c r="B14" s="132">
        <f>SUM(B2:B13)</f>
        <v>1</v>
      </c>
      <c r="C14" s="132">
        <f t="shared" ref="C14:D14" si="3">SUM(C1:C13)</f>
        <v>6</v>
      </c>
      <c r="D14" s="132">
        <f t="shared" si="3"/>
        <v>22</v>
      </c>
      <c r="E14" s="132">
        <f t="shared" ref="E14:G14" si="4">SUM(E2:E13)</f>
        <v>20</v>
      </c>
      <c r="F14" s="132">
        <f t="shared" si="4"/>
        <v>4</v>
      </c>
      <c r="G14" s="133">
        <f t="shared" si="4"/>
        <v>53</v>
      </c>
      <c r="I14" s="122"/>
      <c r="J14" s="122"/>
      <c r="K14" s="122"/>
      <c r="L14" s="122"/>
    </row>
    <row r="16">
      <c r="A16" s="134"/>
      <c r="B16" s="134"/>
      <c r="C16" s="134"/>
      <c r="D16" s="134"/>
      <c r="E16" s="134"/>
      <c r="F16" s="134"/>
      <c r="G16" s="134"/>
    </row>
    <row r="17">
      <c r="A17" s="134"/>
      <c r="B17" s="134"/>
      <c r="C17" s="134"/>
      <c r="D17" s="134"/>
      <c r="E17" s="134"/>
      <c r="F17" s="134"/>
      <c r="G17" s="134"/>
    </row>
    <row r="18">
      <c r="A18" s="134"/>
      <c r="B18" s="134"/>
      <c r="C18" s="134"/>
      <c r="D18" s="134"/>
      <c r="E18" s="134"/>
      <c r="F18" s="134"/>
      <c r="G18" s="134"/>
    </row>
    <row r="19">
      <c r="A19" s="134"/>
      <c r="B19" s="134"/>
      <c r="C19" s="134"/>
      <c r="D19" s="134"/>
      <c r="E19" s="134"/>
      <c r="F19" s="134"/>
      <c r="G19" s="134"/>
    </row>
    <row r="20">
      <c r="A20" s="134"/>
      <c r="B20" s="134"/>
      <c r="C20" s="134"/>
      <c r="D20" s="134"/>
      <c r="E20" s="134"/>
      <c r="F20" s="134"/>
      <c r="G20" s="134"/>
    </row>
    <row r="21">
      <c r="A21" s="134"/>
      <c r="B21" s="134"/>
      <c r="C21" s="134"/>
      <c r="D21" s="134"/>
      <c r="E21" s="134"/>
      <c r="F21" s="134"/>
      <c r="G21" s="134"/>
    </row>
    <row r="22">
      <c r="A22" s="134"/>
      <c r="B22" s="134"/>
      <c r="C22" s="134"/>
      <c r="D22" s="134"/>
      <c r="E22" s="134"/>
      <c r="F22" s="134"/>
      <c r="G22" s="134"/>
    </row>
    <row r="23">
      <c r="A23" s="134"/>
      <c r="B23" s="134"/>
      <c r="C23" s="134"/>
      <c r="D23" s="134"/>
      <c r="E23" s="134"/>
      <c r="F23" s="134"/>
      <c r="G23" s="134"/>
    </row>
    <row r="24">
      <c r="A24" s="134"/>
      <c r="B24" s="134"/>
      <c r="C24" s="134"/>
      <c r="D24" s="134"/>
      <c r="E24" s="134"/>
      <c r="F24" s="134"/>
      <c r="G24" s="134"/>
    </row>
    <row r="25">
      <c r="A25" s="134"/>
      <c r="B25" s="134"/>
      <c r="C25" s="134"/>
      <c r="D25" s="134"/>
      <c r="E25" s="134"/>
      <c r="F25" s="134"/>
      <c r="G25" s="134"/>
    </row>
    <row r="26">
      <c r="A26" s="134"/>
      <c r="B26" s="134"/>
      <c r="C26" s="134"/>
      <c r="D26" s="134"/>
      <c r="E26" s="134"/>
      <c r="F26" s="134"/>
      <c r="G26" s="134"/>
    </row>
    <row r="27">
      <c r="A27" s="134"/>
      <c r="B27" s="134"/>
      <c r="C27" s="134"/>
      <c r="D27" s="134"/>
      <c r="E27" s="134"/>
      <c r="F27" s="134"/>
      <c r="G27" s="134"/>
    </row>
    <row r="28">
      <c r="A28" s="134"/>
      <c r="B28" s="134"/>
      <c r="C28" s="134"/>
      <c r="D28" s="134"/>
      <c r="E28" s="134"/>
      <c r="F28" s="134"/>
      <c r="G28" s="134"/>
    </row>
    <row r="29">
      <c r="A29" s="134"/>
      <c r="B29" s="134"/>
      <c r="C29" s="134"/>
      <c r="D29" s="134"/>
      <c r="E29" s="134"/>
      <c r="F29" s="134"/>
      <c r="G29" s="134"/>
    </row>
    <row r="32">
      <c r="A32" s="135"/>
      <c r="B32" s="135"/>
      <c r="C32" s="135"/>
      <c r="D32" s="135"/>
      <c r="E32" s="135"/>
      <c r="F32" s="135"/>
      <c r="G32" s="135"/>
    </row>
    <row r="33">
      <c r="A33" s="135"/>
      <c r="B33" s="135"/>
      <c r="C33" s="135"/>
      <c r="D33" s="135"/>
      <c r="E33" s="135"/>
      <c r="F33" s="135"/>
      <c r="G33" s="135"/>
    </row>
    <row r="34">
      <c r="A34" s="135"/>
      <c r="B34" s="135"/>
      <c r="C34" s="135"/>
      <c r="D34" s="135"/>
      <c r="E34" s="135"/>
      <c r="F34" s="135"/>
      <c r="G34" s="135"/>
    </row>
    <row r="35">
      <c r="A35" s="135"/>
      <c r="B35" s="135"/>
      <c r="C35" s="135"/>
      <c r="D35" s="135"/>
      <c r="E35" s="135"/>
      <c r="F35" s="135"/>
      <c r="G35" s="135"/>
    </row>
    <row r="36">
      <c r="A36" s="135"/>
      <c r="B36" s="135"/>
      <c r="C36" s="135"/>
      <c r="D36" s="135"/>
      <c r="E36" s="135"/>
      <c r="F36" s="135"/>
      <c r="G36" s="135"/>
    </row>
    <row r="37">
      <c r="A37" s="135"/>
      <c r="B37" s="135"/>
      <c r="C37" s="135"/>
      <c r="D37" s="135"/>
      <c r="E37" s="135"/>
      <c r="F37" s="135"/>
      <c r="G37" s="135"/>
    </row>
    <row r="38">
      <c r="A38" s="135"/>
      <c r="B38" s="135"/>
      <c r="C38" s="135"/>
      <c r="D38" s="135"/>
      <c r="E38" s="135"/>
      <c r="F38" s="135"/>
      <c r="G38" s="135"/>
    </row>
    <row r="39">
      <c r="A39" s="135"/>
      <c r="B39" s="135"/>
      <c r="C39" s="135"/>
      <c r="D39" s="135"/>
      <c r="E39" s="135"/>
      <c r="F39" s="135"/>
      <c r="G39" s="135"/>
    </row>
    <row r="40">
      <c r="A40" s="135"/>
      <c r="B40" s="135"/>
      <c r="C40" s="135"/>
      <c r="D40" s="135"/>
      <c r="E40" s="135"/>
      <c r="F40" s="135"/>
      <c r="G40" s="135"/>
    </row>
    <row r="41">
      <c r="A41" s="135"/>
      <c r="B41" s="135"/>
      <c r="C41" s="135"/>
      <c r="D41" s="135"/>
      <c r="E41" s="135"/>
      <c r="F41" s="135"/>
      <c r="G41" s="135"/>
    </row>
    <row r="42">
      <c r="A42" s="135"/>
      <c r="B42" s="135"/>
      <c r="C42" s="135"/>
      <c r="D42" s="135"/>
      <c r="E42" s="135"/>
      <c r="F42" s="135"/>
      <c r="G42" s="135"/>
    </row>
    <row r="43">
      <c r="A43" s="135"/>
      <c r="B43" s="135"/>
      <c r="C43" s="135"/>
      <c r="D43" s="135"/>
      <c r="E43" s="135"/>
      <c r="F43" s="135"/>
      <c r="G43" s="135"/>
    </row>
    <row r="44">
      <c r="A44" s="135"/>
      <c r="B44" s="135"/>
      <c r="C44" s="135"/>
      <c r="D44" s="135"/>
      <c r="E44" s="135"/>
      <c r="F44" s="135"/>
      <c r="G44" s="135"/>
    </row>
    <row r="45">
      <c r="A45" s="135"/>
      <c r="B45" s="135"/>
      <c r="C45" s="135"/>
      <c r="D45" s="135"/>
      <c r="E45" s="135"/>
      <c r="F45" s="135"/>
      <c r="G45" s="135"/>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136" t="s">
        <v>223</v>
      </c>
    </row>
    <row r="2">
      <c r="A2" s="137" t="s">
        <v>19</v>
      </c>
      <c r="B2" s="137" t="s">
        <v>224</v>
      </c>
      <c r="C2" s="137" t="s">
        <v>225</v>
      </c>
      <c r="D2" s="137" t="s">
        <v>226</v>
      </c>
      <c r="E2" s="137" t="s">
        <v>227</v>
      </c>
    </row>
    <row r="3">
      <c r="A3" s="91">
        <v>0.0</v>
      </c>
      <c r="B3" s="138">
        <f>COUNTIFS('Group Heuristic Evaluation'!I11:I1001, "*A*",'Group Heuristic Evaluation'!D11:D1001, 0)/COUNTA('Group Heuristic Evaluation'!B11:B1001)
</f>
        <v>0</v>
      </c>
      <c r="C3" s="138">
        <f>COUNTIFS('Group Heuristic Evaluation'!I11:I1001, "*B*",'Group Heuristic Evaluation'!D11:D1001, 0)/COUNTA('Group Heuristic Evaluation'!B11:B1001)</f>
        <v>0.01886792453</v>
      </c>
      <c r="D3" s="138">
        <f>COUNTIFS('Group Heuristic Evaluation'!I11:I1001, "*C*",'Group Heuristic Evaluation'!D11:D1001, 0)/COUNTA('Group Heuristic Evaluation'!B11:B1001)</f>
        <v>0</v>
      </c>
      <c r="E3" s="138">
        <f>COUNTIFS('Group Heuristic Evaluation'!I11:I1001, "*D*",'Group Heuristic Evaluation'!D11:D1001, 0)/COUNTA('Group Heuristic Evaluation'!B11:B1001)</f>
        <v>0</v>
      </c>
    </row>
    <row r="4">
      <c r="A4" s="91">
        <v>1.0</v>
      </c>
      <c r="B4" s="138">
        <f>COUNTIFS('Group Heuristic Evaluation'!I11:I1001, "*A*",'Group Heuristic Evaluation'!D11:D1001, 1)/COUNTA('Group Heuristic Evaluation'!B11:B1001)
</f>
        <v>0.07547169811</v>
      </c>
      <c r="C4" s="138">
        <f>COUNTIFS('Group Heuristic Evaluation'!I11:I1001, "*B*",'Group Heuristic Evaluation'!D11:D1001, 1)/COUNTA('Group Heuristic Evaluation'!B11:B1001)</f>
        <v>0.03773584906</v>
      </c>
      <c r="D4" s="138">
        <f>COUNTIFS('Group Heuristic Evaluation'!I11:I1001, "*C*",'Group Heuristic Evaluation'!D11:D1001, 1)/COUNTA('Group Heuristic Evaluation'!B11:B1001)</f>
        <v>0.01886792453</v>
      </c>
      <c r="E4" s="138">
        <f>COUNTIFS('Group Heuristic Evaluation'!I11:I1001, "*D*",'Group Heuristic Evaluation'!D11:D1001, 1)/COUNTA('Group Heuristic Evaluation'!B11:B1001)</f>
        <v>0</v>
      </c>
    </row>
    <row r="5">
      <c r="A5" s="91">
        <v>2.0</v>
      </c>
      <c r="B5" s="138">
        <f>COUNTIFS('Group Heuristic Evaluation'!I11:I1001, "*A*",'Group Heuristic Evaluation'!D11:D1001, 2)/COUNTA('Group Heuristic Evaluation'!B11:B1001)
</f>
        <v>0.1886792453</v>
      </c>
      <c r="C5" s="138">
        <f>COUNTIFS('Group Heuristic Evaluation'!I11:I1001, "*B*",'Group Heuristic Evaluation'!D11:D1001, 2)/COUNTA('Group Heuristic Evaluation'!B11:B1001)</f>
        <v>0.1509433962</v>
      </c>
      <c r="D5" s="138">
        <f>COUNTIFS('Group Heuristic Evaluation'!I11:I1001, "*C*",'Group Heuristic Evaluation'!D11:D1001, 2)/COUNTA('Group Heuristic Evaluation'!B11:B1001)</f>
        <v>0.1320754717</v>
      </c>
      <c r="E5" s="138">
        <f>COUNTIFS('Group Heuristic Evaluation'!I11:I1001, "*D*",'Group Heuristic Evaluation'!D11:D1001, 2)/COUNTA('Group Heuristic Evaluation'!B11:B1001)</f>
        <v>0.07547169811</v>
      </c>
    </row>
    <row r="6">
      <c r="A6" s="91">
        <v>3.0</v>
      </c>
      <c r="B6" s="138">
        <f>COUNTIFS('Group Heuristic Evaluation'!I11:I1001, "*A*",'Group Heuristic Evaluation'!D11:D1001, 3)/COUNTA('Group Heuristic Evaluation'!B11:B1001)
</f>
        <v>0.1698113208</v>
      </c>
      <c r="C6" s="138">
        <f>COUNTIFS('Group Heuristic Evaluation'!I11:I1001, "*B*",'Group Heuristic Evaluation'!D11:D1001, 3)/COUNTA('Group Heuristic Evaluation'!B11:B1001)</f>
        <v>0.1698113208</v>
      </c>
      <c r="D6" s="138">
        <f>COUNTIFS('Group Heuristic Evaluation'!I11:I1001, "*C*",'Group Heuristic Evaluation'!D11:D1001, 3)/COUNTA('Group Heuristic Evaluation'!B11:B1001)</f>
        <v>0.1320754717</v>
      </c>
      <c r="E6" s="138">
        <f>COUNTIFS('Group Heuristic Evaluation'!I11:I1001, "*D*",'Group Heuristic Evaluation'!D11:D1001, 3)/COUNTA('Group Heuristic Evaluation'!B11:B1001)</f>
        <v>0.09433962264</v>
      </c>
    </row>
    <row r="7">
      <c r="A7" s="91">
        <v>4.0</v>
      </c>
      <c r="B7" s="138">
        <f>COUNTIFS('Group Heuristic Evaluation'!I11:I1001, "*A*",'Group Heuristic Evaluation'!D11:D1001, 4)/COUNTA('Group Heuristic Evaluation'!B11:B1001)
</f>
        <v>0.03773584906</v>
      </c>
      <c r="C7" s="138">
        <f>COUNTIFS('Group Heuristic Evaluation'!I11:I1001, "*B*",'Group Heuristic Evaluation'!D11:D1001, 4)/COUNTA('Group Heuristic Evaluation'!B11:B1001)</f>
        <v>0.01886792453</v>
      </c>
      <c r="D7" s="138">
        <f>COUNTIFS('Group Heuristic Evaluation'!I11:I1001, "*C*",'Group Heuristic Evaluation'!D11:D1001, 4)/COUNTA('Group Heuristic Evaluation'!B11:B1001)</f>
        <v>0.03773584906</v>
      </c>
      <c r="E7" s="138">
        <f>COUNTIFS('Group Heuristic Evaluation'!I11:I1001, "*D*",'Group Heuristic Evaluation'!D11:D1001, 4)/COUNTA('Group Heuristic Evaluation'!B11:B1001)</f>
        <v>0.05660377358</v>
      </c>
    </row>
    <row r="8">
      <c r="A8" s="122" t="s">
        <v>228</v>
      </c>
      <c r="B8" s="139">
        <f t="shared" ref="B8:E8" si="1">SUM(B6:B7)</f>
        <v>0.2075471698</v>
      </c>
      <c r="C8" s="139">
        <f t="shared" si="1"/>
        <v>0.1886792453</v>
      </c>
      <c r="D8" s="139">
        <f t="shared" si="1"/>
        <v>0.1698113208</v>
      </c>
      <c r="E8" s="139">
        <f t="shared" si="1"/>
        <v>0.1509433962</v>
      </c>
    </row>
    <row r="9">
      <c r="A9" s="122" t="s">
        <v>229</v>
      </c>
      <c r="B9" s="139">
        <f t="shared" ref="B9:E9" si="2">SUM(B3:B7)</f>
        <v>0.4716981132</v>
      </c>
      <c r="C9" s="139">
        <f t="shared" si="2"/>
        <v>0.3962264151</v>
      </c>
      <c r="D9" s="139">
        <f t="shared" si="2"/>
        <v>0.320754717</v>
      </c>
      <c r="E9" s="139">
        <f t="shared" si="2"/>
        <v>0.2264150943</v>
      </c>
    </row>
    <row r="10">
      <c r="B10" s="140">
        <f>B9*'Summary of Evaluations'!$G$14</f>
        <v>25</v>
      </c>
      <c r="C10" s="140">
        <f>C9*'Summary of Evaluations'!$G$14</f>
        <v>21</v>
      </c>
      <c r="D10" s="140">
        <f>D9*'Summary of Evaluations'!$G$14</f>
        <v>17</v>
      </c>
      <c r="E10" s="140">
        <f>E9*'Summary of Evaluations'!$G$14</f>
        <v>12</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27.0"/>
    <col customWidth="1" min="9" max="13" width="25.38"/>
  </cols>
  <sheetData>
    <row r="1">
      <c r="A1" s="141" t="s">
        <v>230</v>
      </c>
      <c r="B1" s="142"/>
      <c r="C1" s="142"/>
      <c r="D1" s="142"/>
      <c r="E1" s="142"/>
      <c r="F1" s="142"/>
      <c r="G1" s="143"/>
    </row>
    <row r="2">
      <c r="A2" s="6" t="s">
        <v>231</v>
      </c>
      <c r="I2" s="6"/>
      <c r="J2" s="6"/>
      <c r="K2" s="6"/>
      <c r="L2" s="6"/>
      <c r="M2" s="6"/>
    </row>
    <row r="3">
      <c r="I3" s="6"/>
      <c r="J3" s="6"/>
      <c r="K3" s="6"/>
      <c r="L3" s="6"/>
      <c r="M3" s="6"/>
      <c r="N3" s="144" t="s">
        <v>232</v>
      </c>
    </row>
    <row r="4">
      <c r="I4" s="6"/>
      <c r="J4" s="6"/>
      <c r="K4" s="6"/>
      <c r="L4" s="6"/>
      <c r="M4" s="6"/>
    </row>
    <row r="5">
      <c r="I5" s="6"/>
      <c r="J5" s="6"/>
      <c r="K5" s="6"/>
      <c r="L5" s="6"/>
      <c r="M5" s="6"/>
    </row>
    <row r="6">
      <c r="I6" s="6"/>
      <c r="J6" s="6"/>
      <c r="K6" s="6"/>
      <c r="L6" s="6"/>
      <c r="M6" s="6"/>
    </row>
    <row r="7">
      <c r="I7" s="6"/>
      <c r="J7" s="6"/>
      <c r="K7" s="6"/>
      <c r="L7" s="6"/>
      <c r="M7" s="6"/>
    </row>
    <row r="8">
      <c r="I8" s="6"/>
      <c r="J8" s="6"/>
      <c r="K8" s="6"/>
      <c r="L8" s="6"/>
      <c r="M8" s="6"/>
    </row>
    <row r="9">
      <c r="I9" s="6"/>
      <c r="J9" s="6"/>
      <c r="K9" s="6"/>
      <c r="L9" s="6"/>
      <c r="M9" s="6"/>
    </row>
    <row r="10">
      <c r="I10" s="6"/>
      <c r="J10" s="6"/>
      <c r="K10" s="6"/>
      <c r="L10" s="6"/>
      <c r="M10" s="6"/>
    </row>
    <row r="11">
      <c r="I11" s="6"/>
      <c r="J11" s="6"/>
      <c r="K11" s="6"/>
      <c r="L11" s="6"/>
      <c r="M11" s="6"/>
    </row>
    <row r="12">
      <c r="I12" s="6"/>
      <c r="J12" s="6"/>
      <c r="K12" s="6"/>
      <c r="L12" s="6"/>
      <c r="M12" s="6"/>
    </row>
    <row r="13">
      <c r="I13" s="6"/>
      <c r="J13" s="6"/>
      <c r="K13" s="6"/>
      <c r="L13" s="6"/>
      <c r="M13" s="6"/>
    </row>
    <row r="14">
      <c r="I14" s="6"/>
      <c r="J14" s="6"/>
      <c r="K14" s="6"/>
      <c r="L14" s="6"/>
      <c r="M14" s="6"/>
    </row>
    <row r="15">
      <c r="I15" s="6"/>
      <c r="J15" s="6"/>
      <c r="K15" s="6"/>
      <c r="L15" s="6"/>
      <c r="M15" s="6"/>
    </row>
    <row r="16">
      <c r="I16" s="6"/>
      <c r="J16" s="6"/>
      <c r="K16" s="6"/>
      <c r="L16" s="6"/>
      <c r="M16" s="6"/>
    </row>
    <row r="17">
      <c r="I17" s="6"/>
      <c r="J17" s="6"/>
      <c r="K17" s="6"/>
      <c r="L17" s="6"/>
      <c r="M17" s="6"/>
    </row>
    <row r="18">
      <c r="I18" s="6"/>
      <c r="J18" s="6"/>
      <c r="K18" s="6"/>
      <c r="L18" s="6"/>
      <c r="M18" s="6"/>
    </row>
    <row r="19">
      <c r="I19" s="6"/>
      <c r="J19" s="6"/>
      <c r="K19" s="6"/>
      <c r="L19" s="6"/>
      <c r="M19" s="6"/>
    </row>
    <row r="20">
      <c r="I20" s="6"/>
      <c r="J20" s="6"/>
      <c r="K20" s="6"/>
      <c r="L20" s="6"/>
      <c r="M20" s="6"/>
    </row>
    <row r="21">
      <c r="I21" s="6"/>
      <c r="J21" s="6"/>
      <c r="K21" s="6"/>
      <c r="L21" s="6"/>
      <c r="M21" s="6"/>
    </row>
    <row r="22">
      <c r="I22" s="6"/>
      <c r="J22" s="6"/>
      <c r="K22" s="6"/>
      <c r="L22" s="6"/>
      <c r="M22" s="6"/>
    </row>
    <row r="23">
      <c r="I23" s="6"/>
      <c r="J23" s="6"/>
      <c r="K23" s="6"/>
      <c r="L23" s="6"/>
      <c r="M23" s="6"/>
    </row>
    <row r="24">
      <c r="I24" s="6"/>
      <c r="J24" s="6"/>
      <c r="K24" s="6"/>
      <c r="L24" s="6"/>
      <c r="M24" s="6"/>
    </row>
    <row r="25">
      <c r="I25" s="6"/>
      <c r="J25" s="6"/>
      <c r="K25" s="6"/>
      <c r="L25" s="6"/>
      <c r="M25" s="6"/>
    </row>
    <row r="26">
      <c r="I26" s="6"/>
      <c r="J26" s="6"/>
      <c r="K26" s="6"/>
      <c r="L26" s="6"/>
      <c r="M26" s="6"/>
    </row>
    <row r="27">
      <c r="I27" s="6"/>
      <c r="J27" s="6"/>
      <c r="K27" s="6"/>
      <c r="L27" s="6"/>
      <c r="M27" s="6"/>
    </row>
  </sheetData>
  <mergeCells count="2">
    <mergeCell ref="A1:G1"/>
    <mergeCell ref="N3:T28"/>
  </mergeCells>
  <drawing r:id="rId1"/>
</worksheet>
</file>