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Evaluation'!$A$10:$J$108</definedName>
    <definedName hidden="1" localSheetId="0" name="Z_BFE2D799_A5D2_456E_8409_C4919D03FA92_.wvu.FilterData">'Group Heuristic Evaluation'!$A$10:$J$108</definedName>
    <definedName hidden="1" localSheetId="0" name="Z_032E2D9C_9D72_4881_8BAA_D498B547E404_.wvu.FilterData">'Group Heuristic Evaluation'!$A$10:$J$108</definedName>
  </definedNames>
  <calcPr/>
  <customWorkbookViews>
    <customWorkbookView activeSheetId="0" maximized="1" windowHeight="0" windowWidth="0" guid="{BFE2D799-A5D2-456E-8409-C4919D03FA92}" name="Group by Task "/>
    <customWorkbookView activeSheetId="0" maximized="1" windowHeight="0" windowWidth="0" guid="{032E2D9C-9D72-4881-8BAA-D498B547E404}" name="Group by Task"/>
  </customWorkbookViews>
</workbook>
</file>

<file path=xl/sharedStrings.xml><?xml version="1.0" encoding="utf-8"?>
<sst xmlns="http://schemas.openxmlformats.org/spreadsheetml/2006/main" count="710" uniqueCount="400">
  <si>
    <t xml:space="preserve">Prototype Description: </t>
  </si>
  <si>
    <t>EKG collects both static and dynamic student information to be shared with teachers and offers suggested
activities to improve teacher &amp; student relationships</t>
  </si>
  <si>
    <t>Simple Task</t>
  </si>
  <si>
    <t xml:space="preserve">"Teacher views student information"                       </t>
  </si>
  <si>
    <t>Moderate Task</t>
  </si>
  <si>
    <t>1) Teacher runs a game to collect student information
2) Teacher receives AI generated alerts about students</t>
  </si>
  <si>
    <t>Complex Task</t>
  </si>
  <si>
    <t xml:space="preserve">Teacher codesigns a game with an AI chat bot
</t>
  </si>
  <si>
    <t>I changed severities + clarification</t>
  </si>
  <si>
    <t>*attach images here if helpful</t>
  </si>
  <si>
    <t>Problem #</t>
  </si>
  <si>
    <t>Heuristic</t>
  </si>
  <si>
    <t>Task</t>
  </si>
  <si>
    <t>Severity</t>
  </si>
  <si>
    <t>Description</t>
  </si>
  <si>
    <t>Rationale</t>
  </si>
  <si>
    <t>Fix</t>
  </si>
  <si>
    <t>Found by</t>
  </si>
  <si>
    <t>CA Comments</t>
  </si>
  <si>
    <t>Team Comments</t>
  </si>
  <si>
    <t>H10: Help &amp; Documentation</t>
  </si>
  <si>
    <t>1. Simple Task</t>
  </si>
  <si>
    <t>On the student page, a lack of context about when the summary was created could lead to confusion or outdated information. When is the summary created and based on which questions / games?</t>
  </si>
  <si>
    <t>summary might be outdated / confusing if teacher is unsure when it was written</t>
  </si>
  <si>
    <t>Add a timestamp to the summary so teachers can see when it was created or last updated.</t>
  </si>
  <si>
    <t>A, C</t>
  </si>
  <si>
    <t>on "student profile" page where you can see summary and general information, how is this info populated?</t>
  </si>
  <si>
    <t>H7: Flexibility &amp; Efficiency of Use</t>
  </si>
  <si>
    <t xml:space="preserve">The back button after viewing Christina Joo returns users to the choose class page, which interrupts their workflow when trying to view another student.
</t>
  </si>
  <si>
    <t>Teachers need to navigate between student profiles quickly. It may cause frustration and time spent searching through repeated actions</t>
  </si>
  <si>
    <t>Make the back button return to the student list, allowing users to easily switch between student profiles.</t>
  </si>
  <si>
    <t>C, B, A</t>
  </si>
  <si>
    <t>higher sev</t>
  </si>
  <si>
    <t>H1: Visibility of System Status</t>
  </si>
  <si>
    <t>There's no visual feedback indicating that a notification action like "Save" or "Dismiss" was successful in a classes view on a student card</t>
  </si>
  <si>
    <t>Users may not know if their action has been completed, creating uncertainty about whether they need to repeat the action or if they took some action</t>
  </si>
  <si>
    <t>Have a confirmation message or animation (ex. “Saved!” or “Dismissed!”) after each action to confirm success</t>
  </si>
  <si>
    <t>B</t>
  </si>
  <si>
    <t>H4: Consistency &amp; Standards</t>
  </si>
  <si>
    <t>Redundant notifications for the same student.
Christina Joo is repeated for under both Notifications and Students tab</t>
  </si>
  <si>
    <t>I am unsure sure why the same student is repeated in both Notification &amp; Students if clicking on either student tab brings me to the same next page</t>
  </si>
  <si>
    <t>Consider collapsing notifications and student lists. Highlight students in [colour] instead of using duplicate notifications.</t>
  </si>
  <si>
    <t>C</t>
  </si>
  <si>
    <t>H8: Aesthetic &amp; Minimalist Design</t>
  </si>
  <si>
    <t>Duplicate notifications create confusion about whether they refer to the same information.
"Notifications" appeared twice. One as an icon at the bottom of page, another at the top of the class page. Do they refer to the same thing?</t>
  </si>
  <si>
    <t>Redundant information can overwhelm the user and lead to confusion.</t>
  </si>
  <si>
    <t>Remove one instance of the notification to reduce redundancy.</t>
  </si>
  <si>
    <t>H6: Recognition not Recall</t>
  </si>
  <si>
    <t>In the student information page, under the students picture, it says the students nme and in which period they belong. It does not mention anything about which class they are in or what grade they are in.</t>
  </si>
  <si>
    <t>The user has to remember from previous pages what class the student belongs in and what grade they are as this information is not displayes in the student information page.</t>
  </si>
  <si>
    <t>Display this information in the stiudent info page</t>
  </si>
  <si>
    <t>A</t>
  </si>
  <si>
    <t>Could link a notification on a student's profile so you can see what is going on with them in one place instead of having to navigate to two tabs</t>
  </si>
  <si>
    <t xml:space="preserve">Teachers might miss notifications if they aren't looking for it. Classified as 2 because it could impact the experience of teachers in the app. </t>
  </si>
  <si>
    <t>Add notifications to the student profile</t>
  </si>
  <si>
    <t>D</t>
  </si>
  <si>
    <t>H9: Help Users with Errors</t>
  </si>
  <si>
    <t xml:space="preserve">Header for clicking a class is the period not the subject. Could help users prevent errors by making the class (more identifiable) the header. </t>
  </si>
  <si>
    <t>Especially at the start of a term teachers might not have periods memorized but can remember class types</t>
  </si>
  <si>
    <t xml:space="preserve">Change period to class type. </t>
  </si>
  <si>
    <t>H12: Value Alignment &amp; Inclusion</t>
  </si>
  <si>
    <t>Not clear how to sort students.</t>
  </si>
  <si>
    <t>Some students might end up getting more attention if it is strictly alphabetical</t>
  </si>
  <si>
    <t xml:space="preserve">Create sorting options for students. </t>
  </si>
  <si>
    <t>1st period stated on page but without timing</t>
  </si>
  <si>
    <t>Lack of timing information can lead to confusion, especially for teachers managing multiple periods.</t>
  </si>
  <si>
    <t>Include the lesson time alongside the period information for each class.</t>
  </si>
  <si>
    <t>D, C</t>
  </si>
  <si>
    <t>Period + time of period? like high school schedule</t>
  </si>
  <si>
    <t>Have a notification number in the nav bar</t>
  </si>
  <si>
    <t xml:space="preserve">Lets teachers know they have new student notifications. This is a 1 because the app is fully functional without it and it doesn't directly effect usability. </t>
  </si>
  <si>
    <t>Add a number bubble for the notifications</t>
  </si>
  <si>
    <t xml:space="preserve">On the home page, timing of classes are the same / no period number stated for last 2 classes
</t>
  </si>
  <si>
    <t xml:space="preserve">Inconsistent class timings and missing period information can cause confusion. </t>
  </si>
  <si>
    <t>Ensure each class has clear timings and period details for consistency &amp; flag out any clashes or overlaps</t>
  </si>
  <si>
    <t>C, A</t>
  </si>
  <si>
    <t>On home page, the classes are arranged in the order of periods - I am assuming</t>
  </si>
  <si>
    <t>The order of classes may not align with a teacher’s preferred way of organizing them.</t>
  </si>
  <si>
    <t xml:space="preserve">Add a sort button to allow teachers to customize the order of their classes.
</t>
  </si>
  <si>
    <t>Classes in the home page are all in the same colour</t>
  </si>
  <si>
    <t>All classes being the same color makes it hard to distinguish between them, especially when managing multiple classes.</t>
  </si>
  <si>
    <t>Use different colors to represent different subjects or levels for clearer differentiation.</t>
  </si>
  <si>
    <t>C, D</t>
  </si>
  <si>
    <t>In the home page, "select a class" &amp; "classes" are listed one after another</t>
  </si>
  <si>
    <t>The repetition of instructions and headers adds unnecessary clutter to the homepage.</t>
  </si>
  <si>
    <t>remove "classes"</t>
  </si>
  <si>
    <t>when I view student list during the student search, I am unsure how the names are sorted</t>
  </si>
  <si>
    <t>The lack of clarity about how student names are sorted can create confusion for users trying to locate a specific student.</t>
  </si>
  <si>
    <t>Sort student names alphabetically by default, or offer an option for teachers to sort them as needed.</t>
  </si>
  <si>
    <t>The student information page contains a large amount of white space, particularly below the Summary and General Information cards</t>
  </si>
  <si>
    <t xml:space="preserve"> Excessive white space may cause important information to appear less prominent, leading to less efficient use of the screen</t>
  </si>
  <si>
    <t>Make use of white space here by adding more information about a student, perhaps assignments, tardies, or other useful metrics</t>
  </si>
  <si>
    <t>"Save" and "Dismiss" buttons have the same color (white) under a student card</t>
  </si>
  <si>
    <t>When two buttons have opposite outcomes but are styled in the same color this may cause confusion where users have to double-check their actions</t>
  </si>
  <si>
    <t>Differentiate these buttons with icons, color or outlines. A heart is popular for saving and an 'x' for dismissing are possible options</t>
  </si>
  <si>
    <t>Student information one-liner differs across pages</t>
  </si>
  <si>
    <t>In the student information page the information below the students name is the period the student belongs in where as in the students list of a class in the previous page, the information under a students name is what grade they are in. This is inconsistent.</t>
  </si>
  <si>
    <t>Display the same information for the students everywhere</t>
  </si>
  <si>
    <t>H2: Match b/w System &amp; World</t>
  </si>
  <si>
    <t>"Intermediate" reading level can mean different things to different people.</t>
  </si>
  <si>
    <t>Having a concrete metric such as "9th grade level reading" could be more descriptive</t>
  </si>
  <si>
    <t>Change to more granular/informative reading level.</t>
  </si>
  <si>
    <t>Book icon is not clearly a book</t>
  </si>
  <si>
    <t>Users who have trouble reading or a language barrier might be confused</t>
  </si>
  <si>
    <t>Choose a different book icon</t>
  </si>
  <si>
    <t>iPad is capitalized wrong</t>
  </si>
  <si>
    <t xml:space="preserve">For uniformity it should be capitalized the way Apple writes it. A non-native English speaker might think it says "L-pad". This is a 0 because it doesn't effect usability. </t>
  </si>
  <si>
    <t>Change to iPad</t>
  </si>
  <si>
    <t>ha</t>
  </si>
  <si>
    <t xml:space="preserve"> Lack of subject/level details can lead to confusion about which class is being referenced.
If user searches for the student via the search icon - 1st period is stated, but there is no indication of the subject / level</t>
  </si>
  <si>
    <t xml:space="preserve">Teachers may not remember the additional details of the class they are teaching. </t>
  </si>
  <si>
    <t>Add the subject and level below the period for clarity.</t>
  </si>
  <si>
    <t>Subject AND period, higher sev</t>
  </si>
  <si>
    <t>There's no label or icons that indicate that a user can click on student cards for more information when searching for students or in a class view</t>
  </si>
  <si>
    <t>Without labels or icons indicating more information, users may not realize they can click on each student to view additional details and may miss important information</t>
  </si>
  <si>
    <t>Add a subtle arrow or icon next to each student's name to indicate that it's clickable, reducing a need to remember this functionality</t>
  </si>
  <si>
    <t>Inconsistency between "Student Alert" and "1st Period Alert"</t>
  </si>
  <si>
    <t xml:space="preserve">Unclear if Student Alert means the student is in multiple periods. </t>
  </si>
  <si>
    <t>Change to the subject (can list multiple)</t>
  </si>
  <si>
    <t>H5: Error Prevention</t>
  </si>
  <si>
    <t>Having an edit button on the student profile from teacher view</t>
  </si>
  <si>
    <t>Teachers might think they can edit a student profile</t>
  </si>
  <si>
    <t xml:space="preserve">Remove edit button or put an info icon explaining what it means. </t>
  </si>
  <si>
    <t>Header and "Start a Game" scroll with notifications when inside of a class view</t>
  </si>
  <si>
    <t>If a user has a lot of students and/or notifications and they scroll down, the header and button are no longer visible, so they have to remember the period and that it's there</t>
  </si>
  <si>
    <t>Have the period and button stay fixed to the top of the screen while the Notifications and Students sections are scrollable</t>
  </si>
  <si>
    <t>2. Moderate Task</t>
  </si>
  <si>
    <t xml:space="preserve">The wording "Start Game" is unclear and misleading.
Choice of words "start game" - may suggest that game will be started after clicking on the button. 
</t>
  </si>
  <si>
    <t>Start game also appears in the next page - but they actually don't mean the same thing. First "start game" seems to refer to "build / create your game" instead of actually "starting the game"</t>
  </si>
  <si>
    <t>Replace "Start Game" with "Build Game" or "Create Game" to clearly indicate the action.</t>
  </si>
  <si>
    <t>There is no prompt to get teachers to check/review their responses before starting the game. Teachers may ask questions that are too personal or sensitive without realizing it.</t>
  </si>
  <si>
    <t xml:space="preserve">While this can be a light-hearted way to get to know students, teachers should be more measured / considered / think more carefully when they ask more serious questions i.e what are the challenges you faced this week, because some of these questions may make certain students uncomfortable. </t>
  </si>
  <si>
    <t xml:space="preserve">Add a prompt encouraging teachers to review their questions before starting the game, especially those that may touch on sensitive topics.
</t>
  </si>
  <si>
    <t>after responses are generated, clicking on the student response directs user to their profile</t>
  </si>
  <si>
    <t>sometimes, the teacher may want to read the game responses more carefully - instead of going straight to student profile</t>
  </si>
  <si>
    <t>Direct the user to the responses page first, allowing them to review the answers before navigating to the student profile.</t>
  </si>
  <si>
    <t>H3: User Control &amp; Freedom</t>
  </si>
  <si>
    <t>There is no way to delete games from the previous games page</t>
  </si>
  <si>
    <t>The user does not have the freedom to delete games from the previous games page</t>
  </si>
  <si>
    <t>Have a way to delete games in the previous gae page</t>
  </si>
  <si>
    <t>Allowing multiple game selections at once can confuse users.
I am able to select all three games (truth or dare / 2 truths 1 lie / custom activity) at the same time to start the game</t>
  </si>
  <si>
    <t>Ensure the teacher knows exactly which game they are starting, preventing mistakes and confusion.</t>
  </si>
  <si>
    <t>Limit the selection to one game at a time.</t>
  </si>
  <si>
    <t>C, A, B</t>
  </si>
  <si>
    <t>can be fixed in hi-fi</t>
  </si>
  <si>
    <t>There is no indicator showing if each notification has been read or acknowledged</t>
  </si>
  <si>
    <t>Having no clear indicators as to which notifications have been read or acknowledged forces the user to remember these details, which causes a lot of cognitive overhead</t>
  </si>
  <si>
    <t>Add a "Read" or similar functionality to notifications for user acknowledgment</t>
  </si>
  <si>
    <t xml:space="preserve">It is unclear what the save, dismiss and alert options do </t>
  </si>
  <si>
    <t>The user might not understand at first what these buttons do</t>
  </si>
  <si>
    <t>Add documentation to explain what these buttons do</t>
  </si>
  <si>
    <t>In the notifications page it is unclear where the notifications are coming from</t>
  </si>
  <si>
    <t>It is unclear to the user where the notifications are coming from</t>
  </si>
  <si>
    <t>Mention the source of the notifications. Maybe make them expandable with more information</t>
  </si>
  <si>
    <t>unclear what this means, maybe who the notifications are coming from, is it from teacher or system?</t>
  </si>
  <si>
    <t>while waiting for game response, I am unsure about how the game is progressing. I only see numbers increasing. No countdown or quick exit after starting game without notifying students</t>
  </si>
  <si>
    <t>Teachers are unsure of the game’s progress without knowing how many students have completed the task or how much time is remaining. 
Without a countdown or quick exit, users might accidentally start a game and have to notify students. A countdown before the game starts (like 5...4...3) with a cancel option can give users more control if they make mistakes</t>
  </si>
  <si>
    <t xml:space="preserve">consider adding a detail to show how many students were present in the class - so that the teacher knows when to end the game.
Add a countdown after clicking "Start Game" and add the option to cancel as a form of confirmation </t>
  </si>
  <si>
    <t>C, B</t>
  </si>
  <si>
    <t>after game is played - there is a dismiss function when i click on individual function
In the settings page, the checkbox labels such as “Technology Access” and “Computer Proficiency” might use terminology that's more system-oriented</t>
  </si>
  <si>
    <t>The "dismiss" function is ambiguous and doesn't clearly communicate its purpose.
Unsure what dismiss means. Does it mean I delete the response? or does it mean i just close the tab and can click onto next student?
Users may not immediately recognize what “Computer Proficiency” or “Technology Access” mean in this context and there are no other options besides checking these</t>
  </si>
  <si>
    <t>Replace "dismiss" with a more intuitive label such as "Close" 
Be clearer as to what different terminology means. Perhaps for technology access use "devices" as the terminology instead, but this is subjective</t>
  </si>
  <si>
    <t>Back button missing on games page</t>
  </si>
  <si>
    <t>Missing back functionality makes it difficult for teachers to return to the previous page or section.</t>
  </si>
  <si>
    <t>Add back button</t>
  </si>
  <si>
    <t>A, D, B, C</t>
  </si>
  <si>
    <t>Lack of class details during game setup can confuse the teacher.
1st period in game page does not indicate to user which class they are teaching</t>
  </si>
  <si>
    <t>Teachers may be juggling multiple classes &amp; this may cause some confusion</t>
  </si>
  <si>
    <t>Display the class name or subject alongside the period to provide better context.</t>
  </si>
  <si>
    <t xml:space="preserve">There is game history in the previous page - but no question history for truth or dare. </t>
  </si>
  <si>
    <t xml:space="preserve">Lack of a history of questions asked during Truth or Dare may result in repetition. Sometimes the teachers ask questions that have been asked before. </t>
  </si>
  <si>
    <t>Add a question history bank to allow teachers to view questions that have already been asked.</t>
  </si>
  <si>
    <t>good idea</t>
  </si>
  <si>
    <t>Not clear user needs to enter truth and dare</t>
  </si>
  <si>
    <t xml:space="preserve">Users might think they can enter just one. Categorized as level 2 because it can impact usability if a user can't progress. </t>
  </si>
  <si>
    <t>Have a text box telling users to enter one of each</t>
  </si>
  <si>
    <t>Instructions that tell user to enter both truth AND dare, higher sev</t>
  </si>
  <si>
    <t xml:space="preserve">Once you finish a game, it doesn't say what the truth or dare was. </t>
  </si>
  <si>
    <t xml:space="preserve">Teachers might forget what they asked. </t>
  </si>
  <si>
    <t xml:space="preserve">Include truth + dare at the top. </t>
  </si>
  <si>
    <t>AI Help" and "Start Game" buttons are the same color and could be close to each other  during game creation</t>
  </si>
  <si>
    <t>The presence of two different orange buttons could confuse users about their purpose if they perform different actions and if are potentially close to each other</t>
  </si>
  <si>
    <t xml:space="preserve">Change the color of the "AI Help" button or differentiate it with icons etc. </t>
  </si>
  <si>
    <t>Each entry in the "Previous Games" page displays basic information but does not summarize the outcome or key results of past games</t>
  </si>
  <si>
    <t>Users may have to recall the details of each session if they’re only given basic identifiers like the class name and date, which may be enough</t>
  </si>
  <si>
    <t xml:space="preserve">Add a brief summary or outcome indicator (ex. "Summary Available”) for each entry to reduce cognitive load for users </t>
  </si>
  <si>
    <t>H11: Accessible Design</t>
  </si>
  <si>
    <t>In the games page, to select agame one must click the litle selection circle at the right of the box, and clicking the box does not select the game</t>
  </si>
  <si>
    <t>Someone with reduced finger mobility or vision might find it challenging to select a game</t>
  </si>
  <si>
    <t>Make sure that a user can select a game by clicking the game box. I.e make the game box clickable, not just the little circle</t>
  </si>
  <si>
    <t>A, B</t>
  </si>
  <si>
    <t>make clickable area bigger, not just radio button</t>
  </si>
  <si>
    <t>The user is not given a choice on game management after a game ends</t>
  </si>
  <si>
    <t xml:space="preserve">The user doesnt have the freedom to decide weather a game is saved  in previous games or disgarded </t>
  </si>
  <si>
    <t>Put a save game and disgard game buttons at the end of the game summary page</t>
  </si>
  <si>
    <t>The notifications screen doesn't have an option to mark notifications, delete them, or take an action directly from a notification card</t>
  </si>
  <si>
    <t>Users might want more control over their notifications, such as clearing alerts, mark as read, or saving them for a future use</t>
  </si>
  <si>
    <t>Add swipe actions on each notification (ex. swipe left to delete or mark as read) or buttons for these actions on each notification card</t>
  </si>
  <si>
    <t>There's no clear differentiations between alerts for each notification type, requiring users to recall the context of each alert</t>
  </si>
  <si>
    <t>Users might not immediately recognize a notification type without carefully reading it, which may slow down their ability to address them</t>
  </si>
  <si>
    <t>Add recognizable icons to each notification card or use a color-coding system to allow users to quickly recognize alert types</t>
  </si>
  <si>
    <t>icons &gt;&gt; color</t>
  </si>
  <si>
    <t>The change in the student's response raises concerns about the accuracy and consistency of the data.
Christina Joo's response during the game changed from eating ice cream to lost my pet and made me sad &amp; the final version when I clicked on her profile is that she lost her dog</t>
  </si>
  <si>
    <t>I am not sure whether this was intentional - but may want to consider whether the AI is behind the edits - would this spread any misinformation / create some kind of confusion if the AI generalizes / make assumptions</t>
  </si>
  <si>
    <t>Ensure that responses remain consistent across views. If AI makes edits, clarify that those changes are intentional, and avoid assumptions.</t>
  </si>
  <si>
    <t>can be fixed in hi-fi, lower sev</t>
  </si>
  <si>
    <t>The "Two Truths and a Lie" game may raise concerns about encouraging students to lie.</t>
  </si>
  <si>
    <t>could there be an argument against teachers encouraging students to "lie" - their values are about building human connection</t>
  </si>
  <si>
    <t>Consider offering an alternative game that doesn’t promote dishonesty or provide a clearer educational purpose.</t>
  </si>
  <si>
    <t>interesting!</t>
  </si>
  <si>
    <t>The tasks may be too direct or difficult for some students to complete comfortably. Students need to do either truth or dare task</t>
  </si>
  <si>
    <t>students may not be up to do the tasks. Truths may be too direct, dares may be too difficult to do</t>
  </si>
  <si>
    <t>Allow students to choose their response format (e.g., free response, mood meter) to offer more flexibility and avoid discomfort.</t>
  </si>
  <si>
    <t>B, C</t>
  </si>
  <si>
    <t>The broken back button can leave the teacher unable to navigate away from the page.
Back button does not work in the truth or dare page</t>
  </si>
  <si>
    <t>If teacher wants to change to another class, they would be stuck</t>
  </si>
  <si>
    <t>Add a working back button to the Truth or Dare page to allow users to return to the previous screen.</t>
  </si>
  <si>
    <t>Once the teacher exits the AI chatbot, they may lose important context or suggestions.
After speaking to AI chatbot, back button brings teacher back to previous page, but what if the teacher needs to refer to the prompts that the chatbot provided?</t>
  </si>
  <si>
    <t>Teacher may not remember the given inputs by AI / teacher may want to refer back to chat history</t>
  </si>
  <si>
    <t>Provide an option for teachers to review the chat history or prompt summary or a use button in the chat bot</t>
  </si>
  <si>
    <t>C, B, D, A</t>
  </si>
  <si>
    <t>fix in hi-fi</t>
  </si>
  <si>
    <t>Have a call to action or something to motivate teachers to start a game</t>
  </si>
  <si>
    <t xml:space="preserve">Making the app values clear could inspire teachers to connect with students. This is slightly higher than cosmetic because it has the power to effect how users interact with their students and the context of building connections. </t>
  </si>
  <si>
    <t xml:space="preserve">Have a fun icon or text on the game page to encourage teachers. </t>
  </si>
  <si>
    <t>The "Start Game" button is clickable when no game options are selected</t>
  </si>
  <si>
    <t>Allowing users to start a game without selecting one can lead to confusion as to what they pressed</t>
  </si>
  <si>
    <t>Grey out the button or make it unclickable unless a game option is selected</t>
  </si>
  <si>
    <t>disable 'start game' button</t>
  </si>
  <si>
    <t>There's no visible way to clear the input fields if users want to reset their Truth or Dare prompts</t>
  </si>
  <si>
    <t>Users may want the freedom to quickly clear both fields and start over without manually deleting text</t>
  </si>
  <si>
    <t>Add a “Clear” button next to each text box, allowing users to reset their inputs with a single click</t>
  </si>
  <si>
    <t>Not in MVP</t>
  </si>
  <si>
    <t>From a students POV, there is no way to correct or edit a response to a game if an error was made</t>
  </si>
  <si>
    <t>Users might want to modify or correct their responses, especially if a mistake was made during game inputs</t>
  </si>
  <si>
    <t>For students, add an “Edit” button for each response to allow making changes if needed, or provide a confirmation before submission</t>
  </si>
  <si>
    <t>Inconsistent descriptions of games could confuse teachers about how each game works.
Truth or dare "description" is different from custom activity. One is a call to action, another is instruction on how to do the activity</t>
  </si>
  <si>
    <t>there should be some standardization - custom activity description is an explanation of how the AI is used - whereas truth or dare is just a statement to encourage people to use the game. teachers may not understand what the game is about</t>
  </si>
  <si>
    <t>Standardize the descriptions for all games, providing clear, concise explanations of how they work.</t>
  </si>
  <si>
    <t>The AI help prompt is irrelevant and detracts from the intended task.
AI help for truth / dare should be immediately linked to truth or dare - unsure why the chatbot gave the option about another type of game as well</t>
  </si>
  <si>
    <t>Irrelevant options distract from the task at hand and can confuse users. Directly linking the help to the current game ensures users get the assistance they need without unnecessary decisions.</t>
  </si>
  <si>
    <t>Remove the phrase for other games and link AI help directly to Truth or Dare.</t>
  </si>
  <si>
    <t>"Start a Game" / Games icon on the home page bring me to the same page</t>
  </si>
  <si>
    <t>Duplication of functions in UI elements leads to decision fatigue and confusion</t>
  </si>
  <si>
    <t>Remove one of the icons or move the games page to a different location to reduce redundancy.</t>
  </si>
  <si>
    <t>The visual design (similar colors and fonts) makes it hard to distinguish between critical information.
Colour and font size of response, truth &amp; dare are similar if not the same</t>
  </si>
  <si>
    <t>teachers may gloss over the important information - in this case probably the number of students who picked truth</t>
  </si>
  <si>
    <t>Use contrasting colors or font sizes to highlight key information, like the number of students who picked "Truth."</t>
  </si>
  <si>
    <t xml:space="preserve">The label "current class" in the games page may be restrictive, implying that only the current class can be used for creating games.
</t>
  </si>
  <si>
    <t xml:space="preserve">could the teacher want to create games for other classes instead? </t>
  </si>
  <si>
    <t>Replace "current class" with a more general term like "select class" to allow teachers to choose from multiple classes when creating games.</t>
  </si>
  <si>
    <t>In the games page the information icon displays information about what games are offered but nothing else. There is no informationa about what each game does, how its played or how to create it.</t>
  </si>
  <si>
    <t>The documentation for games is lacking crucial information</t>
  </si>
  <si>
    <t>Describe the games better in the information section</t>
  </si>
  <si>
    <t>TLDR: wants info about what each game does, how its played or how to create it. tutorial</t>
  </si>
  <si>
    <t>it seems like the game is mostly done via text / writing</t>
  </si>
  <si>
    <t>Limiting responses to text may not fully capture the variety of ways students want to engage with the game.</t>
  </si>
  <si>
    <t>Allow students to submit responses in multiple formats (e.g., images, videos, voice recordings).</t>
  </si>
  <si>
    <t>nice to have, good idea, but not necessary, lower sev</t>
  </si>
  <si>
    <t>Notifications cant be sorted or filtered</t>
  </si>
  <si>
    <t>The user cannot easily find a notification they are looking for.</t>
  </si>
  <si>
    <t>Add filtering and search functionality to notifications page</t>
  </si>
  <si>
    <t>The white space around the text within the information popup is excessive, making the text look sparse</t>
  </si>
  <si>
    <t>Excessive white space can reduce the information density, being an ineffective use of space. Users would have to click at the very button to exit</t>
  </si>
  <si>
    <t>Reduce the size of the pop-up such that it's as big as it needs to be (close to where the words end)</t>
  </si>
  <si>
    <t>In the game summary page the number of responses is orange bolded and really big in a way that seems inconsistent with the rest of the app.</t>
  </si>
  <si>
    <t>Boldness of number of responses seems inconsistent with rest of app</t>
  </si>
  <si>
    <t>Make it less bold</t>
  </si>
  <si>
    <t>In the game summary page there is no information about what kind of game was played</t>
  </si>
  <si>
    <t>User has to remember what kind of game the summary os about</t>
  </si>
  <si>
    <t>Display the game type in the game summary page</t>
  </si>
  <si>
    <t xml:space="preserve">The dares contain examples that are inconsistent with the subject of the class.
Examples given for dares are of math questions / english literature </t>
  </si>
  <si>
    <t xml:space="preserve">Teachers would expect subject-specific tasks, so keeping the examples aligned with the subject matter helps avoid confusion.
Then again, I cannot tell whether your design choice is intentional </t>
  </si>
  <si>
    <t>Ensure that all dare examples are related to the class subject (e.g., science-related for a biology class).</t>
  </si>
  <si>
    <t>not important, just examples</t>
  </si>
  <si>
    <t>Not worth customization in the MVP</t>
  </si>
  <si>
    <t>Have info icon for previous games to give users a short summary about what the data is and what they can do with it</t>
  </si>
  <si>
    <t xml:space="preserve">Teachers that aren't tech savvy might not see it or know how to interact with it. This is a 0 because it can improve the user experience but isn't a usability problem. </t>
  </si>
  <si>
    <t>Add an info icon</t>
  </si>
  <si>
    <t>after game is played - there is an alert and save function when I click on individual student</t>
  </si>
  <si>
    <t>The alert and save functions are redundant and unclear, making it difficult for teachers to understand the difference between them.
Alert and save may refer to the same thing. if I want to alert myself to it, I should also want to save the info</t>
  </si>
  <si>
    <t>Clarify the functions of these buttons by combining them into one action (e.g., "Save and Alert") or providing distinct, clear icons that indicate their separate functions.</t>
  </si>
  <si>
    <t>higher sev, lost of confusion about these buttons, repeat</t>
  </si>
  <si>
    <t>The "View all responses" link in the game results page is only accessible after scrolling to the bottom</t>
  </si>
  <si>
    <t xml:space="preserve">The page should have this link always accessible without having to scroll all the way to to bottom for ease of use and as a shortcut for experienced users </t>
  </si>
  <si>
    <t>Have the "View all Responses" fixed to the bottom of the screen while having only responses scrollable</t>
  </si>
  <si>
    <t>3. Complex Task</t>
  </si>
  <si>
    <t>AI Help - does not actually explain anything to the user on how the AI will be used</t>
  </si>
  <si>
    <t>The AI Help button is unclear in its purpose and doesn't explain how it can assist the teacher.</t>
  </si>
  <si>
    <t>Revise the button label to something more descriptive, such as "Generate Prompt with AI" or "Ask AI for Assistance."</t>
  </si>
  <si>
    <t xml:space="preserve">Confusing font sizes and icon placement make it unclear which action to prioritize.
AI Help &amp; start game fonts are different. AI Help seems to be bolded &amp; bigger than the start game icon. </t>
  </si>
  <si>
    <t>Teacher might feel compelled to click on the AI help / unsure whether they should click on the start game to continue to the next step of the game creation. AI help seems to be an additional step &amp; should be placed maybe at the bottom / corner of the page</t>
  </si>
  <si>
    <t>Prioritizing actions (like starting the game) over supplementary options (like AI Help) makes the user flow more intuitive.
change the fonts / standardize
swap the order - start game on top, AI help below</t>
  </si>
  <si>
    <t>lots of fixes here but essentially about using visual hierarchy to make more important actions bolder</t>
  </si>
  <si>
    <t>Would be nice to create a quick touch to use feature for AI suggested questions</t>
  </si>
  <si>
    <t>Could expedite the task completion time</t>
  </si>
  <si>
    <t>Make quick add common questions</t>
  </si>
  <si>
    <t>nice to have but not necessary, lower sev</t>
  </si>
  <si>
    <t>There's no edit message button or a similar functionality available</t>
  </si>
  <si>
    <t>Users might want to edit their inputs if they decide to change their mind, if they made a mistake, or don't like the generated message</t>
  </si>
  <si>
    <t xml:space="preserve">Add an edit icon to user sent messages where they are able to edit the message and re-submit </t>
  </si>
  <si>
    <t>repeat</t>
  </si>
  <si>
    <t>The chat messages have inconsistent alignment and fonts, with AI chat messages having inconsistent designs</t>
  </si>
  <si>
    <t>Users might expect a more standardized chat format and should expect the same format regardless of the message (bullet points are fine but have consistent fonts, sizes etc.)</t>
  </si>
  <si>
    <t>Standardize AI generated messages. Have these all be contained in text boxes that are the same size (span the width of the entire text-box before indenting) and use the same font/font-size as well</t>
  </si>
  <si>
    <t>Standardized text boxes are not the norm in AI chat experiences</t>
  </si>
  <si>
    <t>User has to remember truths and dare. Would be nice to one click copy + paste</t>
  </si>
  <si>
    <t>Users might have a hard time navigating back and forth and would want to write down the dare or highlight and try to copy + paste</t>
  </si>
  <si>
    <t>Make text click to copy for the suggestions</t>
  </si>
  <si>
    <t>click 'COPY' to copy AI suggestions easily</t>
  </si>
  <si>
    <t>4. All Tasks</t>
  </si>
  <si>
    <t>No language select in settings page</t>
  </si>
  <si>
    <t>From a students POV, not having access to different language options can exclude them, especially those who may not know English that well</t>
  </si>
  <si>
    <t>Provide the option to change languages in the setting page for students</t>
  </si>
  <si>
    <t>important but not in scope of this class</t>
  </si>
  <si>
    <t>There is no student setting page.</t>
  </si>
  <si>
    <t xml:space="preserve">Not all information icons show information regarding the functionality of the screen their on </t>
  </si>
  <si>
    <t>Users should expect to always see information displayed from these icons and this documentation should be available for each major screen (missing from notifications, settings, student profiles, etc...)</t>
  </si>
  <si>
    <t>Ensure all notification icons display information and make sure they appear in every major screen of the app</t>
  </si>
  <si>
    <t>The layout has considerable white space, especially on the left and right sides of the class cards and in other pages</t>
  </si>
  <si>
    <t>While minimalism is generally good, this much space could make it feel like there is a lack of information density</t>
  </si>
  <si>
    <t>Reduce white space within individual cards (like the classes cards),  display more information to utilize unused white space (to a certain amount without being overwhelming), make cards larger or span the screen</t>
  </si>
  <si>
    <t>Could put something on the homepage to motivate the values (a tagline or image).</t>
  </si>
  <si>
    <t xml:space="preserve">Inspire users to interact with the app and reinforce app values. This is mostly cosmetic imo to improve branding. </t>
  </si>
  <si>
    <t>Add a quote or call to action that reinforces your mission.</t>
  </si>
  <si>
    <t>important!</t>
  </si>
  <si>
    <t>Cells could be spaced/scaled to take up more of the screen to create a more balanced/uniform design</t>
  </si>
  <si>
    <t>Fuller screens could reduce conginitive load if everything looks more uniform</t>
  </si>
  <si>
    <t>Make cells bigger on screen</t>
  </si>
  <si>
    <t>Even though I eventually saw bolded icons in the navigation menu, it's difficult to see where I'm in the app</t>
  </si>
  <si>
    <t>Absence of clear indicators of where a user is in the app might make it difficult for navigation</t>
  </si>
  <si>
    <t>Make indicators clearer, perhaps a fill instead of outline</t>
  </si>
  <si>
    <t>The "Start a Game" button appears in different locations across the app. In classes it's uncentered and in other sections it's centered</t>
  </si>
  <si>
    <t xml:space="preserve">The main button placement should be consistent and follow established standards. If the button changes position across screens it may make learnability more difficult </t>
  </si>
  <si>
    <t>Keep the placement of the "Start a Game" button consistent (centered) across the app</t>
  </si>
  <si>
    <t>Will be fixed in hi-fi</t>
  </si>
  <si>
    <t>5. Extra Violations</t>
  </si>
  <si>
    <t>These is no mention of EKG</t>
  </si>
  <si>
    <t>The user forgets the name of the app</t>
  </si>
  <si>
    <t>Put the app logo or symbol in pages</t>
  </si>
  <si>
    <t>important!!</t>
  </si>
  <si>
    <t>On the home page, search bar placement is misleading, making teachers think they are searching for classes instead of students.</t>
  </si>
  <si>
    <t>on first look, I thought that the search was to search for classes - but when I clicked, the student list came up. Nothing on the homepage told me that the search was for students</t>
  </si>
  <si>
    <t>Clearly label the search bar as "Search Students" or add an icon to differentiate it from class-related searches.</t>
  </si>
  <si>
    <t>The placement of the edit button makes the function unclear and may lead to confusion.</t>
  </si>
  <si>
    <t>UI elements need to be placed in intuitive locations that match user expectations. May be difficult for user to know that the edit button is used for</t>
  </si>
  <si>
    <t>Move the "Edit" button? or just remove altogether. Not sure if there is a need to edit the student profile</t>
  </si>
  <si>
    <t>Reading level may not be relevant to a biology class.
Why is the reading level necessary for a biology class? Does reading refer to language ability?</t>
  </si>
  <si>
    <t>Teachers expect data to be directly relevant to the subject they’re teaching.</t>
  </si>
  <si>
    <t>Replace "reading level" with something more subject-specific (e.g., "biological comprehension level") or remove it if unnecessary - does it really help in understanding the student?</t>
  </si>
  <si>
    <t>Reading level is pertinent for all classes &gt;3rd grade. Research has shown that reading level predicts ability to engage in all classes given information (even in biology) is consumed via reading. All teachers selected reading level as information they wanted</t>
  </si>
  <si>
    <t>The lack of personalization in the settings page, not being able to quickly edit the profile picture or text below this picture</t>
  </si>
  <si>
    <t>The lack of customization options can be limiting for some users and those with specific needs</t>
  </si>
  <si>
    <t>Have more options for customization in the settings page and a quick edit for the profile picture/title information</t>
  </si>
  <si>
    <t>The small size of the checkboxes and their labels may be challenging for users with motor impairments or low vision</t>
  </si>
  <si>
    <t>Small touch targets are harder to interact with, especially on mobile devices, which can lead to usability issues for users with accessibility needs</t>
  </si>
  <si>
    <t>Increase the size of the checkboxes and labels or add more spacing around each option to make them easier to click</t>
  </si>
  <si>
    <t xml:space="preserve">Inconsistent use of arrow directions can confuse users about navigation.
Arrow points up for "previous games", but once the screen comes up, arrow points to the left to return to previous screen. </t>
  </si>
  <si>
    <t>confusing for user - we would expect arrow down if the preceeding action is an arrow up</t>
  </si>
  <si>
    <t>Use a downward-pointing arrow when showing previous games, and a leftward arrow when navigating back to the previous screen for consistency.</t>
  </si>
  <si>
    <t>Under the settings tab, there are icons that are the same. I.e reading &amp; math level, computer proficiency &amp; tech access</t>
  </si>
  <si>
    <t>Similar icons representing different things can create confusion for teachers trying to interpret notifications.</t>
  </si>
  <si>
    <t>Use more distinct icons or add labels next to them to clarify their meaning (e.g., "Reading Level" and "Math Proficiency").</t>
  </si>
  <si>
    <t>C, D, B</t>
  </si>
  <si>
    <t>after clicking settings, we are directed to the teacher profile</t>
  </si>
  <si>
    <t>The teacher profile being housed under settings can be confusing, as users typically expect settings to be related to app configuration rather than personal information.</t>
  </si>
  <si>
    <t>Create a separate icon or section for the teacher profile to differentiate it from app settings.</t>
  </si>
  <si>
    <t>Rename settings to be account/profile/etc?</t>
  </si>
  <si>
    <t>students in the notifications tab are listed but are not ordered</t>
  </si>
  <si>
    <t>An unordered list of students in the notifications tab makes it difficult for teachers to prioritize.</t>
  </si>
  <si>
    <t>Can consider prioritizing students according to class timing</t>
  </si>
  <si>
    <t>Not MVP</t>
  </si>
  <si>
    <t>1st period alert is emphasised a lot - wonder if there is any reason why this is so</t>
  </si>
  <si>
    <t>User may be unsure what happens after the 1st period. Does the app change to the 2nd period alert, etc</t>
  </si>
  <si>
    <t>Use a more neutral label like "Next Period" instead of focusing solely on the 1st period.</t>
  </si>
  <si>
    <t>Will be fixed in hi-fi. 1st period was just example selected.</t>
  </si>
  <si>
    <t>Inconsistent button sizes create confusion about which actions are most important.
Buttons on homepage are not standardized. All of different sizes</t>
  </si>
  <si>
    <t>Does bigger mean more important? I am not sure if it is just incomplete</t>
  </si>
  <si>
    <t>Standardize the sizes of buttons on the homepage for uniformity.</t>
  </si>
  <si>
    <t>Under the notifications tab, Ashton has been "tardy"</t>
  </si>
  <si>
    <t>The term "tardy" may be unclear for some teachers, especially non-native speakers or those unfamiliar with the term.</t>
  </si>
  <si>
    <t>Replace "tardy" with a simpler term like "late" or "absent".</t>
  </si>
  <si>
    <t>Familiar term for audience. No change needed.</t>
  </si>
  <si>
    <t># Viol. (sev 0)</t>
  </si>
  <si>
    <t># Viol. (sev 1)</t>
  </si>
  <si>
    <t># Viol. (sev 2)</t>
  </si>
  <si>
    <t># Viol. (sev 3)</t>
  </si>
  <si>
    <t># Viol. (sev 4)</t>
  </si>
  <si>
    <t># Viol. (total)</t>
  </si>
  <si>
    <t>H12. ​​Value Alignment &amp; Inclusion</t>
  </si>
  <si>
    <t>Total Violations</t>
  </si>
  <si>
    <t>* for this to calculate properly, delete any unused rows from your 'Group Heuristic Evaluation' chart!</t>
  </si>
  <si>
    <t>Evaluator A</t>
  </si>
  <si>
    <t>Evaluator B</t>
  </si>
  <si>
    <t>Evaluator C</t>
  </si>
  <si>
    <t>Evaluator D</t>
  </si>
  <si>
    <t>Total (sevs. 3 &amp; 4)</t>
  </si>
  <si>
    <t>Total (all sevs)</t>
  </si>
  <si>
    <r>
      <rPr>
        <rFont val="Arial"/>
        <b/>
        <color theme="1"/>
      </rPr>
      <t xml:space="preserve">Summary Recommendations </t>
    </r>
    <r>
      <rPr>
        <rFont val="Arial"/>
        <b val="0"/>
        <i/>
        <color theme="1"/>
      </rPr>
      <t>[merge the general recommendations you made here]</t>
    </r>
  </si>
  <si>
    <r>
      <rPr>
        <rFont val="Arial"/>
        <b/>
        <color theme="1"/>
      </rPr>
      <t>Interface Organization and Clarity</t>
    </r>
    <r>
      <rPr>
        <rFont val="Arial"/>
        <color theme="1"/>
      </rPr>
      <t xml:space="preserve">
The feedback emphasizes the </t>
    </r>
    <r>
      <rPr>
        <rFont val="Arial"/>
        <b/>
        <color theme="1"/>
      </rPr>
      <t>need for improved organization and consistency across the app’s interface</t>
    </r>
    <r>
      <rPr>
        <rFont val="Arial"/>
        <color theme="1"/>
      </rPr>
      <t xml:space="preserve">. There were some redundant notifications and unclear class details, such as missing subject or period information. </t>
    </r>
    <r>
      <rPr>
        <rFont val="Arial"/>
        <b/>
        <color theme="1"/>
      </rPr>
      <t>Clearer navigation</t>
    </r>
    <r>
      <rPr>
        <rFont val="Arial"/>
        <color theme="1"/>
      </rPr>
      <t xml:space="preserve">, such as fixed headers for class information and options to sort students or customize class order, would improve usability. Additionally, game setup and response options require more </t>
    </r>
    <r>
      <rPr>
        <rFont val="Arial"/>
        <b/>
        <color theme="1"/>
      </rPr>
      <t xml:space="preserve">intuitive labeling and better instructions </t>
    </r>
    <r>
      <rPr>
        <rFont val="Arial"/>
        <color theme="1"/>
      </rPr>
      <t xml:space="preserve">to ensure that teachers can easily understand and control the flow of activities. To make the app more user-friendly, the interface should also </t>
    </r>
    <r>
      <rPr>
        <rFont val="Arial"/>
        <b/>
        <color theme="1"/>
      </rPr>
      <t>highlight clickable elements, reduce visual clutter, and present relevant student information</t>
    </r>
    <r>
      <rPr>
        <rFont val="Arial"/>
        <color theme="1"/>
      </rPr>
      <t xml:space="preserve"> more efficiently.
</t>
    </r>
    <r>
      <rPr>
        <rFont val="Arial"/>
        <b/>
        <color theme="1"/>
      </rPr>
      <t>Accessibility and User Feedback</t>
    </r>
    <r>
      <rPr>
        <rFont val="Arial"/>
        <color theme="1"/>
      </rPr>
      <t xml:space="preserve">
We also suggested enhancements to </t>
    </r>
    <r>
      <rPr>
        <rFont val="Arial"/>
        <b/>
        <color theme="1"/>
      </rPr>
      <t>accessibility and feedback mechanisms</t>
    </r>
    <r>
      <rPr>
        <rFont val="Arial"/>
        <color theme="1"/>
      </rPr>
      <t xml:space="preserve"> within the app. This includes offering</t>
    </r>
    <r>
      <rPr>
        <rFont val="Arial"/>
        <b/>
        <color theme="1"/>
      </rPr>
      <t xml:space="preserve"> more customization options in settings, improving search functionality, and providing clear indicators of actions,</t>
    </r>
    <r>
      <rPr>
        <rFont val="Arial"/>
        <color theme="1"/>
      </rPr>
      <t xml:space="preserve"> such as saving or dismissing notifications. Suggestions like adding language options and allowing for easier navigation between student profiles and notifications were also mentioned. To further </t>
    </r>
    <r>
      <rPr>
        <rFont val="Arial"/>
        <b/>
        <color theme="1"/>
      </rPr>
      <t>streamline user interaction</t>
    </r>
    <r>
      <rPr>
        <rFont val="Arial"/>
        <color theme="1"/>
      </rPr>
      <t>, we wanted to see more responsive features like visual cues to confirm actions, editable student responses for games, and a way to track game progress. Ultimately, these updates would improve the overall experience, making the app more efficient, intuitive, and inclusive for all users.</t>
    </r>
  </si>
</sst>
</file>

<file path=xl/styles.xml><?xml version="1.0" encoding="utf-8"?>
<styleSheet xmlns="http://schemas.openxmlformats.org/spreadsheetml/2006/main" xmlns:x14ac="http://schemas.microsoft.com/office/spreadsheetml/2009/9/ac" xmlns:mc="http://schemas.openxmlformats.org/markup-compatibility/2006">
  <fonts count="17">
    <font>
      <sz val="10.0"/>
      <color rgb="FF000000"/>
      <name val="Arial"/>
      <scheme val="minor"/>
    </font>
    <font>
      <b/>
      <color theme="1"/>
      <name val="Arial"/>
      <scheme val="minor"/>
    </font>
    <font>
      <color theme="1"/>
      <name val="Arial"/>
      <scheme val="minor"/>
    </font>
    <font>
      <i/>
      <color theme="1"/>
      <name val="Arial"/>
      <scheme val="minor"/>
    </font>
    <font>
      <color rgb="FF434343"/>
      <name val="Roboto"/>
    </font>
    <font>
      <color rgb="FF473821"/>
      <name val="Roboto"/>
    </font>
    <font>
      <color rgb="FF753800"/>
      <name val="Roboto"/>
    </font>
    <font>
      <color theme="1"/>
      <name val="Arial"/>
    </font>
    <font>
      <color rgb="FF0A53A8"/>
      <name val="Roboto"/>
    </font>
    <font>
      <color rgb="FFB10202"/>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
      <i/>
      <color rgb="FF000000"/>
      <name val="Arial"/>
    </font>
  </fonts>
  <fills count="10">
    <fill>
      <patternFill patternType="none"/>
    </fill>
    <fill>
      <patternFill patternType="lightGray"/>
    </fill>
    <fill>
      <patternFill patternType="solid">
        <fgColor rgb="FFF3F3F3"/>
        <bgColor rgb="FFF3F3F3"/>
      </patternFill>
    </fill>
    <fill>
      <patternFill patternType="solid">
        <fgColor rgb="FFFFFFFF"/>
        <bgColor rgb="FFFFFFFF"/>
      </patternFill>
    </fill>
    <fill>
      <patternFill patternType="solid">
        <fgColor rgb="FFF6F8F9"/>
        <bgColor rgb="FFF6F8F9"/>
      </patternFill>
    </fill>
    <fill>
      <patternFill patternType="solid">
        <fgColor rgb="FF999999"/>
        <bgColor rgb="FF999999"/>
      </patternFill>
    </fill>
    <fill>
      <patternFill patternType="solid">
        <fgColor rgb="FFFFFF00"/>
        <bgColor rgb="FFFFFF00"/>
      </patternFill>
    </fill>
    <fill>
      <patternFill patternType="solid">
        <fgColor rgb="FFFFF2CC"/>
        <bgColor rgb="FFFFF2CC"/>
      </patternFill>
    </fill>
    <fill>
      <patternFill patternType="solid">
        <fgColor rgb="FFFCE5CD"/>
        <bgColor rgb="FFFCE5CD"/>
      </patternFill>
    </fill>
    <fill>
      <patternFill patternType="solid">
        <fgColor rgb="FFEFEFEF"/>
        <bgColor rgb="FFEFEFEF"/>
      </patternFill>
    </fill>
  </fills>
  <borders count="21">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442F65"/>
      </left>
      <right style="thin">
        <color rgb="FFF6F8F9"/>
      </right>
      <top style="thin">
        <color rgb="FFF6F8F9"/>
      </top>
      <bottom style="thin">
        <color rgb="FF442F65"/>
      </bottom>
    </border>
    <border>
      <left style="thin">
        <color rgb="FFF6F8F9"/>
      </left>
      <right style="thin">
        <color rgb="FFF6F8F9"/>
      </right>
      <top style="thin">
        <color rgb="FFF6F8F9"/>
      </top>
      <bottom style="thin">
        <color rgb="FF442F65"/>
      </bottom>
    </border>
    <border>
      <left style="thin">
        <color rgb="FFF6F8F9"/>
      </left>
      <right style="thin">
        <color rgb="FF442F65"/>
      </right>
      <top style="thin">
        <color rgb="FFF6F8F9"/>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29">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wrapText="1"/>
    </xf>
    <xf borderId="0" fillId="0" fontId="2" numFmtId="0" xfId="0" applyAlignment="1" applyFont="1">
      <alignment horizontal="left" readingOrder="0" shrinkToFit="0" wrapText="1"/>
    </xf>
    <xf borderId="0" fillId="0" fontId="2" numFmtId="0" xfId="0" applyAlignment="1" applyFont="1">
      <alignment shrinkToFit="0" wrapText="1"/>
    </xf>
    <xf borderId="0" fillId="0" fontId="3" numFmtId="0" xfId="0" applyAlignment="1" applyFont="1">
      <alignment horizontal="left" readingOrder="0" shrinkToFit="0" wrapText="1"/>
    </xf>
    <xf borderId="0" fillId="2" fontId="1" numFmtId="0" xfId="0" applyAlignment="1" applyFill="1" applyFont="1">
      <alignment horizontal="left" readingOrder="0" shrinkToFit="0" wrapText="1"/>
    </xf>
    <xf borderId="0" fillId="3" fontId="3" numFmtId="0" xfId="0" applyAlignment="1" applyFill="1" applyFont="1">
      <alignment horizontal="left" readingOrder="0" shrinkToFit="0" wrapText="1"/>
    </xf>
    <xf borderId="0" fillId="0" fontId="2" numFmtId="0" xfId="0" applyAlignment="1" applyFont="1">
      <alignment readingOrder="0" shrinkToFit="0" wrapText="1"/>
    </xf>
    <xf borderId="1" fillId="0" fontId="2" numFmtId="0" xfId="0" applyAlignment="1" applyBorder="1" applyFont="1">
      <alignment horizontal="left" readingOrder="0" shrinkToFit="0" vertical="center" wrapText="1"/>
    </xf>
    <xf borderId="2" fillId="0" fontId="2" numFmtId="0" xfId="0" applyAlignment="1" applyBorder="1" applyFont="1">
      <alignment horizontal="left" readingOrder="0" shrinkToFit="0" vertical="center" wrapText="1"/>
    </xf>
    <xf borderId="2" fillId="0" fontId="2" numFmtId="0" xfId="0" applyAlignment="1" applyBorder="1" applyFont="1">
      <alignment horizontal="left" readingOrder="0" shrinkToFit="0" vertical="center" wrapText="1"/>
    </xf>
    <xf borderId="3" fillId="0" fontId="2" numFmtId="0" xfId="0" applyAlignment="1" applyBorder="1" applyFont="1">
      <alignment horizontal="left" readingOrder="0" shrinkToFit="0" vertical="center" wrapText="1"/>
    </xf>
    <xf borderId="4" fillId="3" fontId="4" numFmtId="0" xfId="0" applyAlignment="1" applyBorder="1" applyFont="1">
      <alignment horizontal="right" shrinkToFit="0" vertical="center" wrapText="0"/>
    </xf>
    <xf borderId="5" fillId="3" fontId="4" numFmtId="0" xfId="0" applyAlignment="1" applyBorder="1" applyFont="1">
      <alignment readingOrder="0" shrinkToFit="0" vertical="center" wrapText="0"/>
    </xf>
    <xf borderId="5" fillId="3" fontId="4" numFmtId="0" xfId="0" applyAlignment="1" applyBorder="1" applyFont="1">
      <alignment shrinkToFit="0" vertical="center" wrapText="0"/>
    </xf>
    <xf borderId="5" fillId="3" fontId="5" numFmtId="0" xfId="0" applyAlignment="1" applyBorder="1" applyFont="1">
      <alignment horizontal="right" readingOrder="0" shrinkToFit="0" vertical="center" wrapText="0"/>
    </xf>
    <xf borderId="5" fillId="3" fontId="4" numFmtId="49" xfId="0" applyAlignment="1" applyBorder="1" applyFont="1" applyNumberFormat="1">
      <alignment shrinkToFit="0" vertical="center" wrapText="1"/>
    </xf>
    <xf borderId="5" fillId="3" fontId="4" numFmtId="0" xfId="0" applyAlignment="1" applyBorder="1" applyFont="1">
      <alignment shrinkToFit="0" vertical="center" wrapText="1"/>
    </xf>
    <xf borderId="6" fillId="3" fontId="4" numFmtId="0" xfId="0" applyAlignment="1" applyBorder="1" applyFont="1">
      <alignment shrinkToFit="0" vertical="center" wrapText="1"/>
    </xf>
    <xf borderId="5" fillId="0" fontId="2" numFmtId="0" xfId="0" applyAlignment="1" applyBorder="1" applyFont="1">
      <alignment readingOrder="0" shrinkToFit="0" vertical="center" wrapText="0"/>
    </xf>
    <xf borderId="5" fillId="0" fontId="2" numFmtId="0" xfId="0" applyAlignment="1" applyBorder="1" applyFont="1">
      <alignment readingOrder="0" shrinkToFit="0" vertical="center" wrapText="1"/>
    </xf>
    <xf borderId="6" fillId="0" fontId="2" numFmtId="0" xfId="0" applyAlignment="1" applyBorder="1" applyFont="1">
      <alignment readingOrder="0" shrinkToFit="0" vertical="center" wrapText="1"/>
    </xf>
    <xf borderId="7" fillId="4" fontId="4" numFmtId="0" xfId="0" applyAlignment="1" applyBorder="1" applyFill="1" applyFont="1">
      <alignment horizontal="right" shrinkToFit="0" vertical="center" wrapText="0"/>
    </xf>
    <xf borderId="8" fillId="4" fontId="4" numFmtId="0" xfId="0" applyAlignment="1" applyBorder="1" applyFont="1">
      <alignment shrinkToFit="0" vertical="center" wrapText="0"/>
    </xf>
    <xf borderId="8" fillId="4" fontId="6" numFmtId="0" xfId="0" applyAlignment="1" applyBorder="1" applyFont="1">
      <alignment horizontal="right" readingOrder="0" shrinkToFit="0" vertical="center" wrapText="0"/>
    </xf>
    <xf borderId="8" fillId="4" fontId="4" numFmtId="49" xfId="0" applyAlignment="1" applyBorder="1" applyFont="1" applyNumberFormat="1">
      <alignment shrinkToFit="0" vertical="center" wrapText="1"/>
    </xf>
    <xf borderId="8" fillId="4" fontId="4" numFmtId="0" xfId="0" applyAlignment="1" applyBorder="1" applyFont="1">
      <alignment shrinkToFit="0" vertical="center" wrapText="1"/>
    </xf>
    <xf borderId="9" fillId="4" fontId="4" numFmtId="0" xfId="0" applyAlignment="1" applyBorder="1" applyFont="1">
      <alignment shrinkToFit="0" vertical="center" wrapText="1"/>
    </xf>
    <xf borderId="8" fillId="0" fontId="2" numFmtId="0" xfId="0" applyAlignment="1" applyBorder="1" applyFont="1">
      <alignment readingOrder="0" shrinkToFit="0" vertical="center" wrapText="0"/>
    </xf>
    <xf borderId="8" fillId="0" fontId="2" numFmtId="0" xfId="0" applyAlignment="1" applyBorder="1" applyFont="1">
      <alignment readingOrder="0" shrinkToFit="0" vertical="center" wrapText="1"/>
    </xf>
    <xf borderId="9" fillId="0" fontId="2" numFmtId="0" xfId="0" applyAlignment="1" applyBorder="1" applyFont="1">
      <alignment readingOrder="0" shrinkToFit="0" vertical="center" wrapText="1"/>
    </xf>
    <xf borderId="5" fillId="3" fontId="6" numFmtId="0" xfId="0" applyAlignment="1" applyBorder="1" applyFont="1">
      <alignment horizontal="right" readingOrder="0" shrinkToFit="0" vertical="center" wrapText="0"/>
    </xf>
    <xf borderId="7" fillId="3" fontId="4" numFmtId="0" xfId="0" applyAlignment="1" applyBorder="1" applyFont="1">
      <alignment horizontal="right" shrinkToFit="0" vertical="center" wrapText="0"/>
    </xf>
    <xf borderId="8" fillId="3" fontId="4" numFmtId="0" xfId="0" applyAlignment="1" applyBorder="1" applyFont="1">
      <alignment shrinkToFit="0" vertical="center" wrapText="0"/>
    </xf>
    <xf borderId="8" fillId="3" fontId="6" numFmtId="0" xfId="0" applyAlignment="1" applyBorder="1" applyFont="1">
      <alignment horizontal="right" shrinkToFit="0" vertical="center" wrapText="0"/>
    </xf>
    <xf borderId="8" fillId="3" fontId="4" numFmtId="49" xfId="0" applyAlignment="1" applyBorder="1" applyFont="1" applyNumberFormat="1">
      <alignment shrinkToFit="0" vertical="center" wrapText="1"/>
    </xf>
    <xf borderId="8" fillId="3" fontId="4" numFmtId="0" xfId="0" applyAlignment="1" applyBorder="1" applyFont="1">
      <alignment shrinkToFit="0" vertical="center" wrapText="1"/>
    </xf>
    <xf borderId="9" fillId="3" fontId="4" numFmtId="0" xfId="0" applyAlignment="1" applyBorder="1" applyFont="1">
      <alignment readingOrder="0" shrinkToFit="0" vertical="center" wrapText="1"/>
    </xf>
    <xf borderId="8" fillId="0" fontId="2" numFmtId="0" xfId="0" applyAlignment="1" applyBorder="1" applyFont="1">
      <alignment shrinkToFit="0" vertical="center" wrapText="1"/>
    </xf>
    <xf borderId="9" fillId="0" fontId="2" numFmtId="0" xfId="0" applyAlignment="1" applyBorder="1" applyFont="1">
      <alignment shrinkToFit="0" vertical="center" wrapText="1"/>
    </xf>
    <xf borderId="5" fillId="3" fontId="6" numFmtId="0" xfId="0" applyAlignment="1" applyBorder="1" applyFont="1">
      <alignment horizontal="right" shrinkToFit="0" vertical="center" wrapText="0"/>
    </xf>
    <xf borderId="5" fillId="0" fontId="2" numFmtId="0" xfId="0" applyAlignment="1" applyBorder="1" applyFont="1">
      <alignment shrinkToFit="0" vertical="center" wrapText="1"/>
    </xf>
    <xf borderId="6" fillId="0" fontId="2" numFmtId="0" xfId="0" applyAlignment="1" applyBorder="1" applyFont="1">
      <alignment shrinkToFit="0" vertical="center" wrapText="1"/>
    </xf>
    <xf borderId="8" fillId="4" fontId="6" numFmtId="0" xfId="0" applyAlignment="1" applyBorder="1" applyFont="1">
      <alignment horizontal="right" shrinkToFit="0" vertical="center" wrapText="0"/>
    </xf>
    <xf borderId="8" fillId="0" fontId="7" numFmtId="0" xfId="0" applyAlignment="1" applyBorder="1" applyFont="1">
      <alignment readingOrder="0" shrinkToFit="0" vertical="bottom" wrapText="0"/>
    </xf>
    <xf borderId="5" fillId="4" fontId="4" numFmtId="0" xfId="0" applyAlignment="1" applyBorder="1" applyFont="1">
      <alignment shrinkToFit="0" vertical="center" wrapText="0"/>
    </xf>
    <xf borderId="5" fillId="4" fontId="6" numFmtId="0" xfId="0" applyAlignment="1" applyBorder="1" applyFont="1">
      <alignment horizontal="right" shrinkToFit="0" vertical="center" wrapText="0"/>
    </xf>
    <xf borderId="5" fillId="4" fontId="4" numFmtId="49" xfId="0" applyAlignment="1" applyBorder="1" applyFont="1" applyNumberFormat="1">
      <alignment shrinkToFit="0" vertical="center" wrapText="1"/>
    </xf>
    <xf borderId="5" fillId="4" fontId="4" numFmtId="0" xfId="0" applyAlignment="1" applyBorder="1" applyFont="1">
      <alignment shrinkToFit="0" vertical="center" wrapText="1"/>
    </xf>
    <xf borderId="6" fillId="4" fontId="4" numFmtId="0" xfId="0" applyAlignment="1" applyBorder="1" applyFont="1">
      <alignment shrinkToFit="0" vertical="center" wrapText="1"/>
    </xf>
    <xf borderId="5" fillId="0" fontId="7" numFmtId="0" xfId="0" applyAlignment="1" applyBorder="1" applyFont="1">
      <alignment readingOrder="0" shrinkToFit="0" vertical="bottom" wrapText="0"/>
    </xf>
    <xf borderId="8" fillId="3" fontId="6" numFmtId="0" xfId="0" applyAlignment="1" applyBorder="1" applyFont="1">
      <alignment horizontal="right" shrinkToFit="0" vertical="center" wrapText="0"/>
    </xf>
    <xf borderId="9" fillId="3" fontId="4" numFmtId="0" xfId="0" applyAlignment="1" applyBorder="1" applyFont="1">
      <alignment shrinkToFit="0" vertical="center" wrapText="1"/>
    </xf>
    <xf borderId="4" fillId="4" fontId="4" numFmtId="0" xfId="0" applyAlignment="1" applyBorder="1" applyFont="1">
      <alignment horizontal="right" shrinkToFit="0" vertical="center" wrapText="0"/>
    </xf>
    <xf borderId="5" fillId="3" fontId="7" numFmtId="49" xfId="0" applyAlignment="1" applyBorder="1" applyFont="1" applyNumberFormat="1">
      <alignment readingOrder="0" shrinkToFit="0" vertical="center" wrapText="1"/>
    </xf>
    <xf borderId="5" fillId="3" fontId="7" numFmtId="0" xfId="0" applyAlignment="1" applyBorder="1" applyFont="1">
      <alignment readingOrder="0" shrinkToFit="0" vertical="center" wrapText="1"/>
    </xf>
    <xf borderId="6" fillId="3" fontId="7" numFmtId="0" xfId="0" applyAlignment="1" applyBorder="1" applyFont="1">
      <alignment readingOrder="0" shrinkToFit="0" vertical="center" wrapText="1"/>
    </xf>
    <xf borderId="8" fillId="4" fontId="5" numFmtId="0" xfId="0" applyAlignment="1" applyBorder="1" applyFont="1">
      <alignment horizontal="right" readingOrder="0" shrinkToFit="0" vertical="center" wrapText="0"/>
    </xf>
    <xf borderId="8" fillId="4" fontId="5" numFmtId="0" xfId="0" applyAlignment="1" applyBorder="1" applyFont="1">
      <alignment horizontal="right" shrinkToFit="0" vertical="center" wrapText="0"/>
    </xf>
    <xf borderId="8" fillId="4" fontId="4" numFmtId="49" xfId="0" applyAlignment="1" applyBorder="1" applyFont="1" applyNumberFormat="1">
      <alignment readingOrder="0" shrinkToFit="0" vertical="center" wrapText="1"/>
    </xf>
    <xf borderId="8" fillId="4" fontId="4" numFmtId="0" xfId="0" applyAlignment="1" applyBorder="1" applyFont="1">
      <alignment readingOrder="0" shrinkToFit="0" vertical="center" wrapText="1"/>
    </xf>
    <xf borderId="5" fillId="4" fontId="5" numFmtId="0" xfId="0" applyAlignment="1" applyBorder="1" applyFont="1">
      <alignment horizontal="right" shrinkToFit="0" vertical="center" wrapText="0"/>
    </xf>
    <xf borderId="8" fillId="3" fontId="5" numFmtId="0" xfId="0" applyAlignment="1" applyBorder="1" applyFont="1">
      <alignment horizontal="right" shrinkToFit="0" vertical="center" wrapText="0"/>
    </xf>
    <xf borderId="5" fillId="3" fontId="5" numFmtId="0" xfId="0" applyAlignment="1" applyBorder="1" applyFont="1">
      <alignment horizontal="right" shrinkToFit="0" vertical="center" wrapText="0"/>
    </xf>
    <xf borderId="8" fillId="4" fontId="5" numFmtId="0" xfId="0" applyAlignment="1" applyBorder="1" applyFont="1">
      <alignment horizontal="right" shrinkToFit="0" vertical="center" wrapText="0"/>
    </xf>
    <xf borderId="9" fillId="4" fontId="4" numFmtId="0" xfId="0" applyAlignment="1" applyBorder="1" applyFont="1">
      <alignment readingOrder="0" shrinkToFit="0" vertical="center" wrapText="1"/>
    </xf>
    <xf borderId="8" fillId="4" fontId="8" numFmtId="0" xfId="0" applyAlignment="1" applyBorder="1" applyFont="1">
      <alignment horizontal="right" shrinkToFit="0" vertical="center" wrapText="0"/>
    </xf>
    <xf borderId="8" fillId="3" fontId="6" numFmtId="0" xfId="0" applyAlignment="1" applyBorder="1" applyFont="1">
      <alignment horizontal="right" readingOrder="0" shrinkToFit="0" vertical="center" wrapText="0"/>
    </xf>
    <xf borderId="8" fillId="3" fontId="9" numFmtId="0" xfId="0" applyAlignment="1" applyBorder="1" applyFont="1">
      <alignment horizontal="right" readingOrder="0" shrinkToFit="0" vertical="center" wrapText="0"/>
    </xf>
    <xf borderId="5" fillId="3" fontId="9" numFmtId="0" xfId="0" applyAlignment="1" applyBorder="1" applyFont="1">
      <alignment horizontal="right" readingOrder="0" shrinkToFit="0" vertical="center" wrapText="0"/>
    </xf>
    <xf borderId="5" fillId="4" fontId="6" numFmtId="0" xfId="0" applyAlignment="1" applyBorder="1" applyFont="1">
      <alignment horizontal="right" readingOrder="0" shrinkToFit="0" vertical="center" wrapText="0"/>
    </xf>
    <xf borderId="8" fillId="4" fontId="9" numFmtId="0" xfId="0" applyAlignment="1" applyBorder="1" applyFont="1">
      <alignment horizontal="right" shrinkToFit="0" vertical="center" wrapText="0"/>
    </xf>
    <xf borderId="5" fillId="4" fontId="4" numFmtId="0" xfId="0" applyAlignment="1" applyBorder="1" applyFont="1">
      <alignment readingOrder="0" shrinkToFit="0" vertical="center" wrapText="0"/>
    </xf>
    <xf borderId="5" fillId="4" fontId="9" numFmtId="0" xfId="0" applyAlignment="1" applyBorder="1" applyFont="1">
      <alignment horizontal="right" shrinkToFit="0" vertical="center" wrapText="0"/>
    </xf>
    <xf borderId="8" fillId="3" fontId="4" numFmtId="0" xfId="0" applyAlignment="1" applyBorder="1" applyFont="1">
      <alignment readingOrder="0" shrinkToFit="0" vertical="center" wrapText="0"/>
    </xf>
    <xf borderId="8" fillId="3" fontId="9" numFmtId="0" xfId="0" applyAlignment="1" applyBorder="1" applyFont="1">
      <alignment horizontal="right" shrinkToFit="0" vertical="center" wrapText="0"/>
    </xf>
    <xf borderId="5" fillId="3" fontId="9" numFmtId="0" xfId="0" applyAlignment="1" applyBorder="1" applyFont="1">
      <alignment horizontal="right" shrinkToFit="0" vertical="center" wrapText="0"/>
    </xf>
    <xf borderId="5" fillId="4" fontId="5" numFmtId="0" xfId="0" applyAlignment="1" applyBorder="1" applyFont="1">
      <alignment horizontal="right" readingOrder="0" shrinkToFit="0" vertical="center" wrapText="0"/>
    </xf>
    <xf borderId="5" fillId="4" fontId="4" numFmtId="49" xfId="0" applyAlignment="1" applyBorder="1" applyFont="1" applyNumberFormat="1">
      <alignment readingOrder="0" shrinkToFit="0" vertical="center" wrapText="1"/>
    </xf>
    <xf borderId="5" fillId="4" fontId="4" numFmtId="0" xfId="0" applyAlignment="1" applyBorder="1" applyFont="1">
      <alignment readingOrder="0" shrinkToFit="0" vertical="center" wrapText="1"/>
    </xf>
    <xf borderId="6" fillId="4" fontId="4" numFmtId="0" xfId="0" applyAlignment="1" applyBorder="1" applyFont="1">
      <alignment readingOrder="0" shrinkToFit="0" vertical="center" wrapText="1"/>
    </xf>
    <xf quotePrefix="1" borderId="5" fillId="4" fontId="4" numFmtId="49" xfId="0" applyAlignment="1" applyBorder="1" applyFont="1" applyNumberFormat="1">
      <alignment shrinkToFit="0" vertical="center" wrapText="1"/>
    </xf>
    <xf borderId="8" fillId="4" fontId="9" numFmtId="0" xfId="0" applyAlignment="1" applyBorder="1" applyFont="1">
      <alignment horizontal="right" readingOrder="0" shrinkToFit="0" vertical="center" wrapText="0"/>
    </xf>
    <xf borderId="5" fillId="3" fontId="4" numFmtId="0" xfId="0" applyAlignment="1" applyBorder="1" applyFont="1">
      <alignment readingOrder="0" shrinkToFit="0" vertical="center" wrapText="1"/>
    </xf>
    <xf borderId="6" fillId="5" fontId="4" numFmtId="0" xfId="0" applyAlignment="1" applyBorder="1" applyFill="1" applyFont="1">
      <alignment shrinkToFit="0" vertical="center" wrapText="1"/>
    </xf>
    <xf borderId="8" fillId="3" fontId="5" numFmtId="0" xfId="0" applyAlignment="1" applyBorder="1" applyFont="1">
      <alignment horizontal="right" readingOrder="0" shrinkToFit="0" vertical="center" wrapText="0"/>
    </xf>
    <xf borderId="8" fillId="3" fontId="4" numFmtId="49" xfId="0" applyAlignment="1" applyBorder="1" applyFont="1" applyNumberFormat="1">
      <alignment readingOrder="0" shrinkToFit="0" vertical="center" wrapText="1"/>
    </xf>
    <xf borderId="6" fillId="3" fontId="4" numFmtId="0" xfId="0" applyAlignment="1" applyBorder="1" applyFont="1">
      <alignment readingOrder="0" shrinkToFit="0" vertical="center" wrapText="1"/>
    </xf>
    <xf borderId="9" fillId="5" fontId="4" numFmtId="0" xfId="0" applyAlignment="1" applyBorder="1" applyFont="1">
      <alignment shrinkToFit="0" vertical="center" wrapText="1"/>
    </xf>
    <xf borderId="8" fillId="4" fontId="4" numFmtId="0" xfId="0" applyAlignment="1" applyBorder="1" applyFont="1">
      <alignment readingOrder="0" shrinkToFit="0" vertical="center" wrapText="0"/>
    </xf>
    <xf borderId="5" fillId="3" fontId="4" numFmtId="49" xfId="0" applyAlignment="1" applyBorder="1" applyFont="1" applyNumberFormat="1">
      <alignment readingOrder="0" shrinkToFit="0" vertical="center" wrapText="1"/>
    </xf>
    <xf borderId="0" fillId="0" fontId="7" numFmtId="0" xfId="0" applyAlignment="1" applyFont="1">
      <alignment vertical="bottom"/>
    </xf>
    <xf borderId="9" fillId="6" fontId="4" numFmtId="0" xfId="0" applyAlignment="1" applyBorder="1" applyFill="1" applyFont="1">
      <alignment shrinkToFit="0" vertical="center" wrapText="1"/>
    </xf>
    <xf borderId="9" fillId="7" fontId="4" numFmtId="0" xfId="0" applyAlignment="1" applyBorder="1" applyFill="1" applyFont="1">
      <alignment shrinkToFit="0" vertical="center" wrapText="1"/>
    </xf>
    <xf borderId="6" fillId="6" fontId="4" numFmtId="0" xfId="0" applyAlignment="1" applyBorder="1" applyFont="1">
      <alignment shrinkToFit="0" vertical="center" wrapText="1"/>
    </xf>
    <xf borderId="6" fillId="8" fontId="4" numFmtId="0" xfId="0" applyAlignment="1" applyBorder="1" applyFill="1" applyFont="1">
      <alignment shrinkToFit="0" vertical="center" wrapText="1"/>
    </xf>
    <xf borderId="9" fillId="8" fontId="4" numFmtId="0" xfId="0" applyAlignment="1" applyBorder="1" applyFont="1">
      <alignment shrinkToFit="0" vertical="center" wrapText="1"/>
    </xf>
    <xf borderId="10" fillId="4" fontId="4" numFmtId="0" xfId="0" applyAlignment="1" applyBorder="1" applyFont="1">
      <alignment horizontal="right" shrinkToFit="0" vertical="center" wrapText="0"/>
    </xf>
    <xf borderId="11" fillId="0" fontId="2" numFmtId="0" xfId="0" applyAlignment="1" applyBorder="1" applyFont="1">
      <alignment readingOrder="0" shrinkToFit="0" vertical="center" wrapText="0"/>
    </xf>
    <xf borderId="11" fillId="0" fontId="2" numFmtId="0" xfId="0" applyAlignment="1" applyBorder="1" applyFont="1">
      <alignment shrinkToFit="0" vertical="center" wrapText="1"/>
    </xf>
    <xf borderId="12" fillId="0" fontId="2" numFmtId="0" xfId="0" applyAlignment="1" applyBorder="1" applyFont="1">
      <alignment readingOrder="0" shrinkToFit="0" vertical="center" wrapText="1"/>
    </xf>
    <xf borderId="13" fillId="2" fontId="1" numFmtId="0" xfId="0" applyAlignment="1" applyBorder="1" applyFont="1">
      <alignment readingOrder="0"/>
    </xf>
    <xf borderId="14" fillId="2" fontId="10" numFmtId="0" xfId="0" applyAlignment="1" applyBorder="1" applyFont="1">
      <alignment horizontal="left" readingOrder="0" shrinkToFit="0" wrapText="1"/>
    </xf>
    <xf borderId="15" fillId="2" fontId="10" numFmtId="0" xfId="0" applyAlignment="1" applyBorder="1" applyFont="1">
      <alignment horizontal="left" readingOrder="0" shrinkToFit="0" wrapText="1"/>
    </xf>
    <xf borderId="0" fillId="0" fontId="1" numFmtId="0" xfId="0" applyAlignment="1" applyFont="1">
      <alignment readingOrder="0"/>
    </xf>
    <xf borderId="16" fillId="0" fontId="0" numFmtId="0" xfId="0" applyAlignment="1" applyBorder="1" applyFont="1">
      <alignment readingOrder="0"/>
    </xf>
    <xf borderId="0" fillId="0" fontId="11" numFmtId="0" xfId="0" applyFont="1"/>
    <xf borderId="0" fillId="3" fontId="12" numFmtId="0" xfId="0" applyFont="1"/>
    <xf borderId="17" fillId="0" fontId="11" numFmtId="0" xfId="0" applyBorder="1" applyFont="1"/>
    <xf borderId="16" fillId="0" fontId="0" numFmtId="0" xfId="0" applyAlignment="1" applyBorder="1" applyFont="1">
      <alignment horizontal="left" readingOrder="0" shrinkToFit="0" wrapText="1"/>
    </xf>
    <xf borderId="17" fillId="3" fontId="12" numFmtId="0" xfId="0" applyBorder="1" applyFont="1"/>
    <xf borderId="0" fillId="3" fontId="13" numFmtId="0" xfId="0" applyFont="1"/>
    <xf borderId="18" fillId="0" fontId="1" numFmtId="0" xfId="0" applyAlignment="1" applyBorder="1" applyFont="1">
      <alignment readingOrder="0"/>
    </xf>
    <xf borderId="19" fillId="0" fontId="11" numFmtId="0" xfId="0" applyBorder="1" applyFont="1"/>
    <xf borderId="20" fillId="0" fontId="11" numFmtId="0" xfId="0" applyBorder="1" applyFont="1"/>
    <xf borderId="0" fillId="0" fontId="14" numFmtId="0" xfId="0" applyAlignment="1" applyFont="1">
      <alignment vertical="bottom"/>
    </xf>
    <xf borderId="0" fillId="0" fontId="14" numFmtId="0" xfId="0" applyAlignment="1" applyFont="1">
      <alignment readingOrder="0" vertical="bottom"/>
    </xf>
    <xf borderId="0" fillId="0" fontId="3" numFmtId="0" xfId="0" applyAlignment="1" applyFont="1">
      <alignment horizontal="center" readingOrder="0"/>
    </xf>
    <xf borderId="0" fillId="2" fontId="1" numFmtId="0" xfId="0" applyAlignment="1" applyFont="1">
      <alignment horizontal="center" readingOrder="0"/>
    </xf>
    <xf borderId="0" fillId="0" fontId="2" numFmtId="0" xfId="0" applyAlignment="1" applyFont="1">
      <alignment readingOrder="0"/>
    </xf>
    <xf borderId="0" fillId="3" fontId="13" numFmtId="10" xfId="0" applyAlignment="1" applyFont="1" applyNumberFormat="1">
      <alignment horizontal="right"/>
    </xf>
    <xf borderId="0" fillId="0" fontId="2" numFmtId="0" xfId="0" applyFont="1"/>
    <xf borderId="0" fillId="0" fontId="2" numFmtId="10" xfId="0" applyAlignment="1" applyFont="1" applyNumberFormat="1">
      <alignment horizontal="right"/>
    </xf>
    <xf borderId="13" fillId="9" fontId="14" numFmtId="0" xfId="0" applyAlignment="1" applyBorder="1" applyFill="1" applyFont="1">
      <alignment readingOrder="0" vertical="bottom"/>
    </xf>
    <xf borderId="14" fillId="0" fontId="15" numFmtId="0" xfId="0" applyBorder="1" applyFont="1"/>
    <xf borderId="15" fillId="0" fontId="15" numFmtId="0" xfId="0" applyBorder="1" applyFont="1"/>
    <xf borderId="0" fillId="0" fontId="7" numFmtId="0" xfId="0" applyAlignment="1" applyFont="1">
      <alignment readingOrder="0" shrinkToFit="0" vertical="top" wrapText="1"/>
    </xf>
    <xf borderId="0" fillId="3" fontId="16" numFmtId="0" xfId="0" applyAlignment="1" applyFont="1">
      <alignment horizontal="left" readingOrder="0"/>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Group Heuristic Evaluation-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J108" displayName="Group_Heuristic_Evaluations" name="Group_Heuristic_Evaluations" id="1">
  <autoFilter ref="$A$10:$J$108"/>
  <tableColumns count="10">
    <tableColumn name="Problem #" id="1"/>
    <tableColumn name="Heuristic" id="2"/>
    <tableColumn name="Task" id="3"/>
    <tableColumn name="Severity" id="4"/>
    <tableColumn name="Description" id="5"/>
    <tableColumn name="Rationale" id="6"/>
    <tableColumn name="Fix" id="7"/>
    <tableColumn name="Found by" id="8"/>
    <tableColumn name="CA Comments" id="9"/>
    <tableColumn name="Team Comments" id="10"/>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13.25"/>
    <col customWidth="1" min="2" max="2" width="35.88"/>
    <col customWidth="1" min="3" max="11" width="22.63"/>
    <col customWidth="1" min="12" max="12" width="15.13"/>
  </cols>
  <sheetData>
    <row r="1" ht="15.75" customHeight="1">
      <c r="A1" s="1" t="s">
        <v>0</v>
      </c>
      <c r="B1" s="2" t="s">
        <v>1</v>
      </c>
      <c r="F1" s="3"/>
      <c r="G1" s="3"/>
      <c r="I1" s="4"/>
      <c r="J1" s="4"/>
    </row>
    <row r="2" ht="15.75" customHeight="1">
      <c r="A2" s="3"/>
      <c r="B2" s="3"/>
      <c r="C2" s="3"/>
      <c r="D2" s="3"/>
      <c r="E2" s="3"/>
      <c r="F2" s="3"/>
      <c r="G2" s="3"/>
      <c r="I2" s="4"/>
      <c r="J2" s="4"/>
    </row>
    <row r="3" ht="15.75" customHeight="1">
      <c r="A3" s="3"/>
      <c r="B3" s="3"/>
      <c r="C3" s="3"/>
      <c r="D3" s="5"/>
      <c r="F3" s="3"/>
      <c r="G3" s="3"/>
      <c r="I3" s="4"/>
      <c r="J3" s="4"/>
    </row>
    <row r="4" ht="30.0" customHeight="1">
      <c r="A4" s="6" t="s">
        <v>2</v>
      </c>
      <c r="B4" s="7" t="s">
        <v>3</v>
      </c>
      <c r="C4" s="5"/>
      <c r="D4" s="6"/>
      <c r="E4" s="5"/>
      <c r="F4" s="3"/>
      <c r="G4" s="3"/>
      <c r="I4" s="4"/>
      <c r="J4" s="4"/>
    </row>
    <row r="5" ht="36.0" customHeight="1">
      <c r="A5" s="6" t="s">
        <v>4</v>
      </c>
      <c r="B5" s="7" t="s">
        <v>5</v>
      </c>
      <c r="C5" s="5"/>
      <c r="D5" s="6"/>
      <c r="E5" s="5"/>
      <c r="F5" s="3"/>
      <c r="G5" s="3"/>
      <c r="I5" s="4"/>
      <c r="J5" s="4"/>
    </row>
    <row r="6" ht="49.5" customHeight="1">
      <c r="A6" s="6" t="s">
        <v>6</v>
      </c>
      <c r="B6" s="5" t="s">
        <v>7</v>
      </c>
      <c r="C6" s="5"/>
      <c r="D6" s="6"/>
      <c r="E6" s="5"/>
      <c r="F6" s="3"/>
      <c r="G6" s="3"/>
      <c r="I6" s="4"/>
      <c r="J6" s="4"/>
    </row>
    <row r="7" ht="33.75" customHeight="1">
      <c r="A7" s="3"/>
      <c r="B7" s="3"/>
      <c r="C7" s="3"/>
      <c r="D7" s="6"/>
      <c r="E7" s="2"/>
      <c r="F7" s="3"/>
      <c r="G7" s="3"/>
      <c r="I7" s="4"/>
      <c r="J7" s="4"/>
    </row>
    <row r="8" ht="54.0" customHeight="1">
      <c r="A8" s="3"/>
      <c r="B8" s="3"/>
      <c r="C8" s="3"/>
      <c r="D8" s="3"/>
      <c r="E8" s="3"/>
      <c r="F8" s="3"/>
      <c r="G8" s="3"/>
      <c r="I8" s="8" t="s">
        <v>8</v>
      </c>
      <c r="J8" s="8"/>
    </row>
    <row r="9" ht="1.5" customHeight="1">
      <c r="A9" s="3"/>
      <c r="B9" s="3"/>
      <c r="C9" s="3"/>
      <c r="D9" s="3"/>
      <c r="E9" s="5" t="s">
        <v>9</v>
      </c>
      <c r="F9" s="3"/>
      <c r="G9" s="3"/>
      <c r="I9" s="4"/>
      <c r="J9" s="4"/>
    </row>
    <row r="10">
      <c r="A10" s="9" t="s">
        <v>10</v>
      </c>
      <c r="B10" s="10" t="s">
        <v>11</v>
      </c>
      <c r="C10" s="10" t="s">
        <v>12</v>
      </c>
      <c r="D10" s="10" t="s">
        <v>13</v>
      </c>
      <c r="E10" s="10" t="s">
        <v>14</v>
      </c>
      <c r="F10" s="10" t="s">
        <v>15</v>
      </c>
      <c r="G10" s="10" t="s">
        <v>16</v>
      </c>
      <c r="H10" s="10" t="s">
        <v>17</v>
      </c>
      <c r="I10" s="11" t="s">
        <v>18</v>
      </c>
      <c r="J10" s="12" t="s">
        <v>19</v>
      </c>
    </row>
    <row r="11">
      <c r="A11" s="13">
        <f t="shared" ref="A11:A12" si="1">ROW() - 8</f>
        <v>3</v>
      </c>
      <c r="B11" s="14" t="s">
        <v>20</v>
      </c>
      <c r="C11" s="15" t="s">
        <v>21</v>
      </c>
      <c r="D11" s="16">
        <v>4.0</v>
      </c>
      <c r="E11" s="17" t="s">
        <v>22</v>
      </c>
      <c r="F11" s="18" t="s">
        <v>23</v>
      </c>
      <c r="G11" s="19" t="s">
        <v>24</v>
      </c>
      <c r="H11" s="20" t="s">
        <v>25</v>
      </c>
      <c r="I11" s="21" t="s">
        <v>26</v>
      </c>
      <c r="J11" s="22"/>
    </row>
    <row r="12">
      <c r="A12" s="23">
        <f t="shared" si="1"/>
        <v>4</v>
      </c>
      <c r="B12" s="24" t="s">
        <v>27</v>
      </c>
      <c r="C12" s="24" t="s">
        <v>21</v>
      </c>
      <c r="D12" s="25">
        <v>4.0</v>
      </c>
      <c r="E12" s="26" t="s">
        <v>28</v>
      </c>
      <c r="F12" s="27" t="s">
        <v>29</v>
      </c>
      <c r="G12" s="28" t="s">
        <v>30</v>
      </c>
      <c r="H12" s="29" t="s">
        <v>31</v>
      </c>
      <c r="I12" s="30" t="s">
        <v>32</v>
      </c>
      <c r="J12" s="31"/>
    </row>
    <row r="13">
      <c r="A13" s="13">
        <f>ROW() - 10</f>
        <v>3</v>
      </c>
      <c r="B13" s="15" t="s">
        <v>33</v>
      </c>
      <c r="C13" s="15" t="s">
        <v>21</v>
      </c>
      <c r="D13" s="32">
        <v>4.0</v>
      </c>
      <c r="E13" s="17" t="s">
        <v>34</v>
      </c>
      <c r="F13" s="18" t="s">
        <v>35</v>
      </c>
      <c r="G13" s="19" t="s">
        <v>36</v>
      </c>
      <c r="H13" s="20" t="s">
        <v>37</v>
      </c>
      <c r="I13" s="21" t="s">
        <v>32</v>
      </c>
      <c r="J13" s="22"/>
    </row>
    <row r="14">
      <c r="A14" s="33">
        <v>1.0</v>
      </c>
      <c r="B14" s="34" t="s">
        <v>38</v>
      </c>
      <c r="C14" s="34" t="s">
        <v>21</v>
      </c>
      <c r="D14" s="35">
        <v>2.0</v>
      </c>
      <c r="E14" s="36" t="s">
        <v>39</v>
      </c>
      <c r="F14" s="37" t="s">
        <v>40</v>
      </c>
      <c r="G14" s="38" t="s">
        <v>41</v>
      </c>
      <c r="H14" s="29" t="s">
        <v>42</v>
      </c>
      <c r="I14" s="39"/>
      <c r="J14" s="40"/>
    </row>
    <row r="15">
      <c r="A15" s="13">
        <f t="shared" ref="A15:A17" si="2">ROW() - 8</f>
        <v>7</v>
      </c>
      <c r="B15" s="15" t="s">
        <v>43</v>
      </c>
      <c r="C15" s="15" t="s">
        <v>21</v>
      </c>
      <c r="D15" s="41">
        <v>2.0</v>
      </c>
      <c r="E15" s="17" t="s">
        <v>44</v>
      </c>
      <c r="F15" s="18" t="s">
        <v>45</v>
      </c>
      <c r="G15" s="19" t="s">
        <v>46</v>
      </c>
      <c r="H15" s="20" t="s">
        <v>42</v>
      </c>
      <c r="I15" s="42"/>
      <c r="J15" s="43"/>
    </row>
    <row r="16">
      <c r="A16" s="23">
        <f t="shared" si="2"/>
        <v>8</v>
      </c>
      <c r="B16" s="24" t="s">
        <v>47</v>
      </c>
      <c r="C16" s="24" t="s">
        <v>21</v>
      </c>
      <c r="D16" s="44">
        <v>2.0</v>
      </c>
      <c r="E16" s="26" t="s">
        <v>48</v>
      </c>
      <c r="F16" s="27" t="s">
        <v>49</v>
      </c>
      <c r="G16" s="28" t="s">
        <v>50</v>
      </c>
      <c r="H16" s="45" t="s">
        <v>51</v>
      </c>
      <c r="I16" s="39"/>
      <c r="J16" s="40"/>
    </row>
    <row r="17">
      <c r="A17" s="13">
        <f t="shared" si="2"/>
        <v>9</v>
      </c>
      <c r="B17" s="46" t="s">
        <v>33</v>
      </c>
      <c r="C17" s="46" t="s">
        <v>21</v>
      </c>
      <c r="D17" s="47">
        <v>2.0</v>
      </c>
      <c r="E17" s="48" t="s">
        <v>52</v>
      </c>
      <c r="F17" s="49" t="s">
        <v>53</v>
      </c>
      <c r="G17" s="50" t="s">
        <v>54</v>
      </c>
      <c r="H17" s="51" t="s">
        <v>55</v>
      </c>
      <c r="I17" s="42"/>
      <c r="J17" s="43"/>
    </row>
    <row r="18">
      <c r="A18" s="23">
        <f t="shared" ref="A18:A19" si="3">ROW() - 10</f>
        <v>8</v>
      </c>
      <c r="B18" s="34" t="s">
        <v>56</v>
      </c>
      <c r="C18" s="34" t="s">
        <v>21</v>
      </c>
      <c r="D18" s="52">
        <v>2.0</v>
      </c>
      <c r="E18" s="36" t="s">
        <v>57</v>
      </c>
      <c r="F18" s="37" t="s">
        <v>58</v>
      </c>
      <c r="G18" s="53" t="s">
        <v>59</v>
      </c>
      <c r="H18" s="29" t="s">
        <v>55</v>
      </c>
      <c r="I18" s="39"/>
      <c r="J18" s="40"/>
    </row>
    <row r="19">
      <c r="A19" s="54">
        <f t="shared" si="3"/>
        <v>9</v>
      </c>
      <c r="B19" s="15" t="s">
        <v>60</v>
      </c>
      <c r="C19" s="15" t="s">
        <v>21</v>
      </c>
      <c r="D19" s="41">
        <v>2.0</v>
      </c>
      <c r="E19" s="55" t="s">
        <v>61</v>
      </c>
      <c r="F19" s="56" t="s">
        <v>62</v>
      </c>
      <c r="G19" s="57" t="s">
        <v>63</v>
      </c>
      <c r="H19" s="20" t="s">
        <v>55</v>
      </c>
      <c r="I19" s="42"/>
      <c r="J19" s="43"/>
    </row>
    <row r="20">
      <c r="A20" s="23">
        <f t="shared" ref="A20:A26" si="4">ROW() - 8</f>
        <v>12</v>
      </c>
      <c r="B20" s="24" t="s">
        <v>38</v>
      </c>
      <c r="C20" s="24" t="s">
        <v>21</v>
      </c>
      <c r="D20" s="58">
        <v>2.0</v>
      </c>
      <c r="E20" s="26" t="s">
        <v>64</v>
      </c>
      <c r="F20" s="27" t="s">
        <v>65</v>
      </c>
      <c r="G20" s="28" t="s">
        <v>66</v>
      </c>
      <c r="H20" s="29" t="s">
        <v>67</v>
      </c>
      <c r="I20" s="30" t="s">
        <v>68</v>
      </c>
      <c r="J20" s="31"/>
    </row>
    <row r="21">
      <c r="A21" s="54">
        <f t="shared" si="4"/>
        <v>13</v>
      </c>
      <c r="B21" s="15" t="s">
        <v>33</v>
      </c>
      <c r="C21" s="15" t="s">
        <v>21</v>
      </c>
      <c r="D21" s="16">
        <v>2.0</v>
      </c>
      <c r="E21" s="17" t="s">
        <v>69</v>
      </c>
      <c r="F21" s="18" t="s">
        <v>70</v>
      </c>
      <c r="G21" s="19" t="s">
        <v>71</v>
      </c>
      <c r="H21" s="51" t="s">
        <v>55</v>
      </c>
      <c r="I21" s="21" t="s">
        <v>32</v>
      </c>
      <c r="J21" s="22"/>
    </row>
    <row r="22">
      <c r="A22" s="23">
        <f t="shared" si="4"/>
        <v>14</v>
      </c>
      <c r="B22" s="24" t="s">
        <v>38</v>
      </c>
      <c r="C22" s="24" t="s">
        <v>21</v>
      </c>
      <c r="D22" s="59">
        <v>1.0</v>
      </c>
      <c r="E22" s="60" t="s">
        <v>72</v>
      </c>
      <c r="F22" s="61" t="s">
        <v>73</v>
      </c>
      <c r="G22" s="28" t="s">
        <v>74</v>
      </c>
      <c r="H22" s="29" t="s">
        <v>75</v>
      </c>
      <c r="I22" s="39"/>
      <c r="J22" s="40"/>
    </row>
    <row r="23">
      <c r="A23" s="54">
        <f t="shared" si="4"/>
        <v>15</v>
      </c>
      <c r="B23" s="46" t="s">
        <v>27</v>
      </c>
      <c r="C23" s="46" t="s">
        <v>21</v>
      </c>
      <c r="D23" s="62">
        <v>1.0</v>
      </c>
      <c r="E23" s="48" t="s">
        <v>76</v>
      </c>
      <c r="F23" s="49" t="s">
        <v>77</v>
      </c>
      <c r="G23" s="50" t="s">
        <v>78</v>
      </c>
      <c r="H23" s="20" t="s">
        <v>42</v>
      </c>
      <c r="I23" s="42"/>
      <c r="J23" s="43"/>
    </row>
    <row r="24">
      <c r="A24" s="33">
        <f t="shared" si="4"/>
        <v>16</v>
      </c>
      <c r="B24" s="34" t="s">
        <v>43</v>
      </c>
      <c r="C24" s="34" t="s">
        <v>21</v>
      </c>
      <c r="D24" s="63">
        <v>1.0</v>
      </c>
      <c r="E24" s="36" t="s">
        <v>79</v>
      </c>
      <c r="F24" s="37" t="s">
        <v>80</v>
      </c>
      <c r="G24" s="53" t="s">
        <v>81</v>
      </c>
      <c r="H24" s="29" t="s">
        <v>82</v>
      </c>
      <c r="I24" s="39"/>
      <c r="J24" s="40"/>
    </row>
    <row r="25">
      <c r="A25" s="54">
        <f t="shared" si="4"/>
        <v>17</v>
      </c>
      <c r="B25" s="46" t="s">
        <v>43</v>
      </c>
      <c r="C25" s="46" t="s">
        <v>21</v>
      </c>
      <c r="D25" s="62">
        <v>1.0</v>
      </c>
      <c r="E25" s="48" t="s">
        <v>83</v>
      </c>
      <c r="F25" s="49" t="s">
        <v>84</v>
      </c>
      <c r="G25" s="50" t="s">
        <v>85</v>
      </c>
      <c r="H25" s="20" t="s">
        <v>42</v>
      </c>
      <c r="I25" s="42"/>
      <c r="J25" s="43"/>
    </row>
    <row r="26">
      <c r="A26" s="33">
        <f t="shared" si="4"/>
        <v>18</v>
      </c>
      <c r="B26" s="34" t="s">
        <v>43</v>
      </c>
      <c r="C26" s="34" t="s">
        <v>21</v>
      </c>
      <c r="D26" s="63">
        <v>1.0</v>
      </c>
      <c r="E26" s="36" t="s">
        <v>86</v>
      </c>
      <c r="F26" s="37" t="s">
        <v>87</v>
      </c>
      <c r="G26" s="53" t="s">
        <v>88</v>
      </c>
      <c r="H26" s="29" t="s">
        <v>82</v>
      </c>
      <c r="I26" s="39"/>
      <c r="J26" s="40"/>
    </row>
    <row r="27">
      <c r="A27" s="13">
        <f t="shared" ref="A27:A28" si="5">ROW() - 10</f>
        <v>17</v>
      </c>
      <c r="B27" s="15" t="s">
        <v>43</v>
      </c>
      <c r="C27" s="15" t="s">
        <v>21</v>
      </c>
      <c r="D27" s="64">
        <v>1.0</v>
      </c>
      <c r="E27" s="17" t="s">
        <v>89</v>
      </c>
      <c r="F27" s="18" t="s">
        <v>90</v>
      </c>
      <c r="G27" s="19" t="s">
        <v>91</v>
      </c>
      <c r="H27" s="20" t="s">
        <v>37</v>
      </c>
      <c r="I27" s="42"/>
      <c r="J27" s="43"/>
    </row>
    <row r="28">
      <c r="A28" s="23">
        <f t="shared" si="5"/>
        <v>18</v>
      </c>
      <c r="B28" s="24" t="s">
        <v>38</v>
      </c>
      <c r="C28" s="24" t="s">
        <v>21</v>
      </c>
      <c r="D28" s="65">
        <v>1.0</v>
      </c>
      <c r="E28" s="26" t="s">
        <v>92</v>
      </c>
      <c r="F28" s="27" t="s">
        <v>93</v>
      </c>
      <c r="G28" s="28" t="s">
        <v>94</v>
      </c>
      <c r="H28" s="29" t="s">
        <v>37</v>
      </c>
      <c r="I28" s="39"/>
      <c r="J28" s="40"/>
    </row>
    <row r="29">
      <c r="A29" s="13">
        <f t="shared" ref="A29:A30" si="6">ROW() - 8</f>
        <v>21</v>
      </c>
      <c r="B29" s="15" t="s">
        <v>38</v>
      </c>
      <c r="C29" s="15" t="s">
        <v>21</v>
      </c>
      <c r="D29" s="64">
        <v>1.0</v>
      </c>
      <c r="E29" s="17" t="s">
        <v>95</v>
      </c>
      <c r="F29" s="18" t="s">
        <v>96</v>
      </c>
      <c r="G29" s="19" t="s">
        <v>97</v>
      </c>
      <c r="H29" s="51" t="s">
        <v>51</v>
      </c>
      <c r="I29" s="42"/>
      <c r="J29" s="43"/>
    </row>
    <row r="30">
      <c r="A30" s="33">
        <f t="shared" si="6"/>
        <v>22</v>
      </c>
      <c r="B30" s="24" t="s">
        <v>98</v>
      </c>
      <c r="C30" s="24" t="s">
        <v>21</v>
      </c>
      <c r="D30" s="65">
        <v>1.0</v>
      </c>
      <c r="E30" s="26" t="s">
        <v>99</v>
      </c>
      <c r="F30" s="27" t="s">
        <v>100</v>
      </c>
      <c r="G30" s="66" t="s">
        <v>101</v>
      </c>
      <c r="H30" s="45" t="s">
        <v>55</v>
      </c>
      <c r="I30" s="39"/>
      <c r="J30" s="40"/>
    </row>
    <row r="31">
      <c r="A31" s="54">
        <f>ROW() - 10</f>
        <v>21</v>
      </c>
      <c r="B31" s="46" t="s">
        <v>43</v>
      </c>
      <c r="C31" s="46" t="s">
        <v>21</v>
      </c>
      <c r="D31" s="62">
        <v>1.0</v>
      </c>
      <c r="E31" s="48" t="s">
        <v>102</v>
      </c>
      <c r="F31" s="49" t="s">
        <v>103</v>
      </c>
      <c r="G31" s="50" t="s">
        <v>104</v>
      </c>
      <c r="H31" s="20" t="s">
        <v>55</v>
      </c>
      <c r="I31" s="42"/>
      <c r="J31" s="43"/>
    </row>
    <row r="32">
      <c r="A32" s="33">
        <f t="shared" ref="A32:A33" si="7">ROW() - 8</f>
        <v>24</v>
      </c>
      <c r="B32" s="24" t="s">
        <v>38</v>
      </c>
      <c r="C32" s="24" t="s">
        <v>21</v>
      </c>
      <c r="D32" s="67">
        <v>0.0</v>
      </c>
      <c r="E32" s="26" t="s">
        <v>105</v>
      </c>
      <c r="F32" s="27" t="s">
        <v>106</v>
      </c>
      <c r="G32" s="28" t="s">
        <v>107</v>
      </c>
      <c r="H32" s="45" t="s">
        <v>55</v>
      </c>
      <c r="I32" s="30" t="s">
        <v>108</v>
      </c>
      <c r="J32" s="31"/>
    </row>
    <row r="33">
      <c r="A33" s="13">
        <f t="shared" si="7"/>
        <v>25</v>
      </c>
      <c r="B33" s="15" t="s">
        <v>47</v>
      </c>
      <c r="C33" s="15" t="s">
        <v>21</v>
      </c>
      <c r="D33" s="32">
        <v>3.0</v>
      </c>
      <c r="E33" s="17" t="s">
        <v>109</v>
      </c>
      <c r="F33" s="18" t="s">
        <v>110</v>
      </c>
      <c r="G33" s="19" t="s">
        <v>111</v>
      </c>
      <c r="H33" s="20" t="s">
        <v>75</v>
      </c>
      <c r="I33" s="21" t="s">
        <v>112</v>
      </c>
      <c r="J33" s="22"/>
    </row>
    <row r="34">
      <c r="A34" s="23">
        <f>ROW() - 10</f>
        <v>24</v>
      </c>
      <c r="B34" s="24" t="s">
        <v>47</v>
      </c>
      <c r="C34" s="24" t="s">
        <v>21</v>
      </c>
      <c r="D34" s="25">
        <v>3.0</v>
      </c>
      <c r="E34" s="26" t="s">
        <v>113</v>
      </c>
      <c r="F34" s="27" t="s">
        <v>114</v>
      </c>
      <c r="G34" s="28" t="s">
        <v>115</v>
      </c>
      <c r="H34" s="29" t="s">
        <v>37</v>
      </c>
      <c r="I34" s="30" t="s">
        <v>32</v>
      </c>
      <c r="J34" s="31"/>
    </row>
    <row r="35">
      <c r="A35" s="54">
        <f t="shared" ref="A35:A36" si="8">ROW() - 8</f>
        <v>27</v>
      </c>
      <c r="B35" s="15" t="s">
        <v>38</v>
      </c>
      <c r="C35" s="15" t="s">
        <v>21</v>
      </c>
      <c r="D35" s="32">
        <v>3.0</v>
      </c>
      <c r="E35" s="17" t="s">
        <v>116</v>
      </c>
      <c r="F35" s="18" t="s">
        <v>117</v>
      </c>
      <c r="G35" s="19" t="s">
        <v>118</v>
      </c>
      <c r="H35" s="51" t="s">
        <v>55</v>
      </c>
      <c r="I35" s="21" t="s">
        <v>32</v>
      </c>
      <c r="J35" s="22"/>
    </row>
    <row r="36">
      <c r="A36" s="23">
        <f t="shared" si="8"/>
        <v>28</v>
      </c>
      <c r="B36" s="34" t="s">
        <v>119</v>
      </c>
      <c r="C36" s="34" t="s">
        <v>21</v>
      </c>
      <c r="D36" s="68">
        <v>3.0</v>
      </c>
      <c r="E36" s="36" t="s">
        <v>120</v>
      </c>
      <c r="F36" s="37" t="s">
        <v>121</v>
      </c>
      <c r="G36" s="53" t="s">
        <v>122</v>
      </c>
      <c r="H36" s="45" t="s">
        <v>55</v>
      </c>
      <c r="I36" s="30" t="s">
        <v>32</v>
      </c>
      <c r="J36" s="31"/>
    </row>
    <row r="37">
      <c r="A37" s="13">
        <f>ROW() - 10</f>
        <v>27</v>
      </c>
      <c r="B37" s="15" t="s">
        <v>47</v>
      </c>
      <c r="C37" s="15" t="s">
        <v>21</v>
      </c>
      <c r="D37" s="16">
        <v>3.0</v>
      </c>
      <c r="E37" s="17" t="s">
        <v>123</v>
      </c>
      <c r="F37" s="18" t="s">
        <v>124</v>
      </c>
      <c r="G37" s="19" t="s">
        <v>125</v>
      </c>
      <c r="H37" s="20" t="s">
        <v>37</v>
      </c>
      <c r="I37" s="21" t="s">
        <v>32</v>
      </c>
      <c r="J37" s="22"/>
    </row>
    <row r="38">
      <c r="A38" s="33">
        <f t="shared" ref="A38:A42" si="9">ROW() - 8</f>
        <v>30</v>
      </c>
      <c r="B38" s="34" t="s">
        <v>38</v>
      </c>
      <c r="C38" s="34" t="s">
        <v>126</v>
      </c>
      <c r="D38" s="69">
        <v>4.0</v>
      </c>
      <c r="E38" s="36" t="s">
        <v>127</v>
      </c>
      <c r="F38" s="37" t="s">
        <v>128</v>
      </c>
      <c r="G38" s="53" t="s">
        <v>129</v>
      </c>
      <c r="H38" s="29" t="s">
        <v>42</v>
      </c>
      <c r="I38" s="30" t="s">
        <v>32</v>
      </c>
      <c r="J38" s="31"/>
    </row>
    <row r="39">
      <c r="A39" s="13">
        <f t="shared" si="9"/>
        <v>31</v>
      </c>
      <c r="B39" s="14" t="s">
        <v>60</v>
      </c>
      <c r="C39" s="15" t="s">
        <v>126</v>
      </c>
      <c r="D39" s="70">
        <v>4.0</v>
      </c>
      <c r="E39" s="17" t="s">
        <v>130</v>
      </c>
      <c r="F39" s="18" t="s">
        <v>131</v>
      </c>
      <c r="G39" s="19" t="s">
        <v>132</v>
      </c>
      <c r="H39" s="20" t="s">
        <v>42</v>
      </c>
      <c r="I39" s="21" t="s">
        <v>32</v>
      </c>
      <c r="J39" s="22"/>
    </row>
    <row r="40">
      <c r="A40" s="23">
        <f t="shared" si="9"/>
        <v>32</v>
      </c>
      <c r="B40" s="24" t="s">
        <v>38</v>
      </c>
      <c r="C40" s="24" t="s">
        <v>126</v>
      </c>
      <c r="D40" s="25">
        <v>4.0</v>
      </c>
      <c r="E40" s="26" t="s">
        <v>133</v>
      </c>
      <c r="F40" s="27" t="s">
        <v>134</v>
      </c>
      <c r="G40" s="28" t="s">
        <v>135</v>
      </c>
      <c r="H40" s="29" t="s">
        <v>42</v>
      </c>
      <c r="I40" s="30" t="s">
        <v>32</v>
      </c>
      <c r="J40" s="31"/>
    </row>
    <row r="41">
      <c r="A41" s="54">
        <f t="shared" si="9"/>
        <v>33</v>
      </c>
      <c r="B41" s="46" t="s">
        <v>136</v>
      </c>
      <c r="C41" s="14" t="s">
        <v>126</v>
      </c>
      <c r="D41" s="71">
        <v>4.0</v>
      </c>
      <c r="E41" s="48" t="s">
        <v>137</v>
      </c>
      <c r="F41" s="49" t="s">
        <v>138</v>
      </c>
      <c r="G41" s="50" t="s">
        <v>139</v>
      </c>
      <c r="H41" s="51" t="s">
        <v>51</v>
      </c>
      <c r="I41" s="21" t="s">
        <v>32</v>
      </c>
      <c r="J41" s="22"/>
    </row>
    <row r="42">
      <c r="A42" s="23">
        <f t="shared" si="9"/>
        <v>34</v>
      </c>
      <c r="B42" s="24" t="s">
        <v>119</v>
      </c>
      <c r="C42" s="24" t="s">
        <v>126</v>
      </c>
      <c r="D42" s="72">
        <v>3.0</v>
      </c>
      <c r="E42" s="26" t="s">
        <v>140</v>
      </c>
      <c r="F42" s="27" t="s">
        <v>141</v>
      </c>
      <c r="G42" s="28" t="s">
        <v>142</v>
      </c>
      <c r="H42" s="29" t="s">
        <v>143</v>
      </c>
      <c r="I42" s="30" t="s">
        <v>144</v>
      </c>
      <c r="J42" s="31"/>
    </row>
    <row r="43">
      <c r="A43" s="54">
        <f>ROW() - 10</f>
        <v>33</v>
      </c>
      <c r="B43" s="46" t="s">
        <v>33</v>
      </c>
      <c r="C43" s="73" t="s">
        <v>126</v>
      </c>
      <c r="D43" s="74">
        <v>3.0</v>
      </c>
      <c r="E43" s="48" t="s">
        <v>145</v>
      </c>
      <c r="F43" s="49" t="s">
        <v>146</v>
      </c>
      <c r="G43" s="50" t="s">
        <v>147</v>
      </c>
      <c r="H43" s="20" t="s">
        <v>37</v>
      </c>
      <c r="I43" s="42"/>
      <c r="J43" s="43"/>
    </row>
    <row r="44">
      <c r="A44" s="33">
        <f t="shared" ref="A44:A51" si="10">ROW() - 8</f>
        <v>36</v>
      </c>
      <c r="B44" s="34" t="s">
        <v>33</v>
      </c>
      <c r="C44" s="75" t="s">
        <v>126</v>
      </c>
      <c r="D44" s="76">
        <v>3.0</v>
      </c>
      <c r="E44" s="36" t="s">
        <v>148</v>
      </c>
      <c r="F44" s="37" t="s">
        <v>149</v>
      </c>
      <c r="G44" s="53" t="s">
        <v>150</v>
      </c>
      <c r="H44" s="45" t="s">
        <v>51</v>
      </c>
      <c r="I44" s="39"/>
      <c r="J44" s="40"/>
    </row>
    <row r="45">
      <c r="A45" s="13">
        <f t="shared" si="10"/>
        <v>37</v>
      </c>
      <c r="B45" s="15" t="s">
        <v>33</v>
      </c>
      <c r="C45" s="14" t="s">
        <v>126</v>
      </c>
      <c r="D45" s="77">
        <v>3.0</v>
      </c>
      <c r="E45" s="17" t="s">
        <v>151</v>
      </c>
      <c r="F45" s="18" t="s">
        <v>152</v>
      </c>
      <c r="G45" s="19" t="s">
        <v>153</v>
      </c>
      <c r="H45" s="51" t="s">
        <v>51</v>
      </c>
      <c r="I45" s="21" t="s">
        <v>154</v>
      </c>
      <c r="J45" s="22"/>
    </row>
    <row r="46">
      <c r="A46" s="23">
        <f t="shared" si="10"/>
        <v>38</v>
      </c>
      <c r="B46" s="24" t="s">
        <v>33</v>
      </c>
      <c r="C46" s="24" t="s">
        <v>126</v>
      </c>
      <c r="D46" s="58">
        <v>3.0</v>
      </c>
      <c r="E46" s="60" t="s">
        <v>155</v>
      </c>
      <c r="F46" s="61" t="s">
        <v>156</v>
      </c>
      <c r="G46" s="66" t="s">
        <v>157</v>
      </c>
      <c r="H46" s="29" t="s">
        <v>158</v>
      </c>
      <c r="I46" s="30" t="s">
        <v>32</v>
      </c>
      <c r="J46" s="31"/>
    </row>
    <row r="47">
      <c r="A47" s="54">
        <f t="shared" si="10"/>
        <v>39</v>
      </c>
      <c r="B47" s="46" t="s">
        <v>98</v>
      </c>
      <c r="C47" s="46" t="s">
        <v>126</v>
      </c>
      <c r="D47" s="78">
        <v>3.0</v>
      </c>
      <c r="E47" s="79" t="s">
        <v>159</v>
      </c>
      <c r="F47" s="80" t="s">
        <v>160</v>
      </c>
      <c r="G47" s="81" t="s">
        <v>161</v>
      </c>
      <c r="H47" s="20" t="s">
        <v>25</v>
      </c>
      <c r="I47" s="21" t="s">
        <v>32</v>
      </c>
      <c r="J47" s="22"/>
    </row>
    <row r="48">
      <c r="A48" s="33">
        <f t="shared" si="10"/>
        <v>40</v>
      </c>
      <c r="B48" s="34" t="s">
        <v>136</v>
      </c>
      <c r="C48" s="34" t="s">
        <v>126</v>
      </c>
      <c r="D48" s="68">
        <v>3.0</v>
      </c>
      <c r="E48" s="36" t="s">
        <v>162</v>
      </c>
      <c r="F48" s="37" t="s">
        <v>163</v>
      </c>
      <c r="G48" s="53" t="s">
        <v>164</v>
      </c>
      <c r="H48" s="29" t="s">
        <v>165</v>
      </c>
      <c r="I48" s="30" t="s">
        <v>32</v>
      </c>
      <c r="J48" s="31"/>
    </row>
    <row r="49">
      <c r="A49" s="54">
        <f t="shared" si="10"/>
        <v>41</v>
      </c>
      <c r="B49" s="46" t="s">
        <v>47</v>
      </c>
      <c r="C49" s="24" t="s">
        <v>126</v>
      </c>
      <c r="D49" s="71">
        <v>3.0</v>
      </c>
      <c r="E49" s="48" t="s">
        <v>166</v>
      </c>
      <c r="F49" s="49" t="s">
        <v>167</v>
      </c>
      <c r="G49" s="50" t="s">
        <v>168</v>
      </c>
      <c r="H49" s="20" t="s">
        <v>82</v>
      </c>
      <c r="I49" s="21" t="s">
        <v>32</v>
      </c>
      <c r="J49" s="22"/>
    </row>
    <row r="50">
      <c r="A50" s="23">
        <f t="shared" si="10"/>
        <v>42</v>
      </c>
      <c r="B50" s="24" t="s">
        <v>47</v>
      </c>
      <c r="C50" s="24" t="s">
        <v>126</v>
      </c>
      <c r="D50" s="25">
        <v>3.0</v>
      </c>
      <c r="E50" s="26" t="s">
        <v>169</v>
      </c>
      <c r="F50" s="27" t="s">
        <v>170</v>
      </c>
      <c r="G50" s="28" t="s">
        <v>171</v>
      </c>
      <c r="H50" s="29" t="s">
        <v>42</v>
      </c>
      <c r="I50" s="30" t="s">
        <v>172</v>
      </c>
      <c r="J50" s="31"/>
    </row>
    <row r="51">
      <c r="A51" s="54">
        <f t="shared" si="10"/>
        <v>43</v>
      </c>
      <c r="B51" s="15" t="s">
        <v>20</v>
      </c>
      <c r="C51" s="34" t="s">
        <v>126</v>
      </c>
      <c r="D51" s="32">
        <v>3.0</v>
      </c>
      <c r="E51" s="17" t="s">
        <v>173</v>
      </c>
      <c r="F51" s="18" t="s">
        <v>174</v>
      </c>
      <c r="G51" s="19" t="s">
        <v>175</v>
      </c>
      <c r="H51" s="51" t="s">
        <v>55</v>
      </c>
      <c r="I51" s="21" t="s">
        <v>176</v>
      </c>
      <c r="J51" s="22"/>
    </row>
    <row r="52">
      <c r="A52" s="23">
        <f t="shared" ref="A52:A54" si="11">ROW() - 10</f>
        <v>42</v>
      </c>
      <c r="B52" s="24" t="s">
        <v>47</v>
      </c>
      <c r="C52" s="24" t="s">
        <v>126</v>
      </c>
      <c r="D52" s="25">
        <v>3.0</v>
      </c>
      <c r="E52" s="26" t="s">
        <v>177</v>
      </c>
      <c r="F52" s="27" t="s">
        <v>178</v>
      </c>
      <c r="G52" s="28" t="s">
        <v>179</v>
      </c>
      <c r="H52" s="29" t="s">
        <v>55</v>
      </c>
      <c r="I52" s="30" t="s">
        <v>32</v>
      </c>
      <c r="J52" s="31"/>
    </row>
    <row r="53">
      <c r="A53" s="54">
        <f t="shared" si="11"/>
        <v>43</v>
      </c>
      <c r="B53" s="46" t="s">
        <v>38</v>
      </c>
      <c r="C53" s="75" t="s">
        <v>126</v>
      </c>
      <c r="D53" s="71">
        <v>3.0</v>
      </c>
      <c r="E53" s="82" t="s">
        <v>180</v>
      </c>
      <c r="F53" s="49" t="s">
        <v>181</v>
      </c>
      <c r="G53" s="50" t="s">
        <v>182</v>
      </c>
      <c r="H53" s="20" t="s">
        <v>37</v>
      </c>
      <c r="I53" s="21" t="s">
        <v>32</v>
      </c>
      <c r="J53" s="22"/>
    </row>
    <row r="54">
      <c r="A54" s="23">
        <f t="shared" si="11"/>
        <v>44</v>
      </c>
      <c r="B54" s="24" t="s">
        <v>47</v>
      </c>
      <c r="C54" s="75" t="s">
        <v>126</v>
      </c>
      <c r="D54" s="25">
        <v>3.0</v>
      </c>
      <c r="E54" s="26" t="s">
        <v>183</v>
      </c>
      <c r="F54" s="27" t="s">
        <v>184</v>
      </c>
      <c r="G54" s="28" t="s">
        <v>185</v>
      </c>
      <c r="H54" s="29" t="s">
        <v>37</v>
      </c>
      <c r="I54" s="30" t="s">
        <v>32</v>
      </c>
      <c r="J54" s="31"/>
    </row>
    <row r="55">
      <c r="A55" s="13">
        <f t="shared" ref="A55:A56" si="12">ROW() - 8</f>
        <v>47</v>
      </c>
      <c r="B55" s="15" t="s">
        <v>186</v>
      </c>
      <c r="C55" s="75" t="s">
        <v>126</v>
      </c>
      <c r="D55" s="32">
        <v>3.0</v>
      </c>
      <c r="E55" s="17" t="s">
        <v>187</v>
      </c>
      <c r="F55" s="18" t="s">
        <v>188</v>
      </c>
      <c r="G55" s="19" t="s">
        <v>189</v>
      </c>
      <c r="H55" s="51" t="s">
        <v>190</v>
      </c>
      <c r="I55" s="21" t="s">
        <v>191</v>
      </c>
      <c r="J55" s="22"/>
    </row>
    <row r="56">
      <c r="A56" s="13">
        <f t="shared" si="12"/>
        <v>48</v>
      </c>
      <c r="B56" s="15" t="s">
        <v>136</v>
      </c>
      <c r="C56" s="14" t="s">
        <v>126</v>
      </c>
      <c r="D56" s="32">
        <v>3.0</v>
      </c>
      <c r="E56" s="17" t="s">
        <v>192</v>
      </c>
      <c r="F56" s="18" t="s">
        <v>193</v>
      </c>
      <c r="G56" s="19" t="s">
        <v>194</v>
      </c>
      <c r="H56" s="45" t="s">
        <v>51</v>
      </c>
      <c r="I56" s="30" t="s">
        <v>32</v>
      </c>
      <c r="J56" s="31"/>
    </row>
    <row r="57">
      <c r="A57" s="33">
        <f t="shared" ref="A57:A58" si="13">ROW() - 10</f>
        <v>47</v>
      </c>
      <c r="B57" s="34" t="s">
        <v>136</v>
      </c>
      <c r="C57" s="75" t="s">
        <v>126</v>
      </c>
      <c r="D57" s="68">
        <v>3.0</v>
      </c>
      <c r="E57" s="36" t="s">
        <v>195</v>
      </c>
      <c r="F57" s="37" t="s">
        <v>196</v>
      </c>
      <c r="G57" s="53" t="s">
        <v>197</v>
      </c>
      <c r="H57" s="20" t="s">
        <v>37</v>
      </c>
      <c r="I57" s="21" t="s">
        <v>32</v>
      </c>
      <c r="J57" s="22"/>
    </row>
    <row r="58">
      <c r="A58" s="54">
        <f t="shared" si="13"/>
        <v>48</v>
      </c>
      <c r="B58" s="46" t="s">
        <v>47</v>
      </c>
      <c r="C58" s="14" t="s">
        <v>126</v>
      </c>
      <c r="D58" s="71">
        <v>3.0</v>
      </c>
      <c r="E58" s="48" t="s">
        <v>198</v>
      </c>
      <c r="F58" s="49" t="s">
        <v>199</v>
      </c>
      <c r="G58" s="50" t="s">
        <v>200</v>
      </c>
      <c r="H58" s="29" t="s">
        <v>37</v>
      </c>
      <c r="I58" s="30" t="s">
        <v>201</v>
      </c>
      <c r="J58" s="31"/>
    </row>
    <row r="59">
      <c r="A59" s="23">
        <f t="shared" ref="A59:A64" si="14">ROW() - 8</f>
        <v>51</v>
      </c>
      <c r="B59" s="24" t="s">
        <v>38</v>
      </c>
      <c r="C59" s="24" t="s">
        <v>126</v>
      </c>
      <c r="D59" s="83">
        <v>2.0</v>
      </c>
      <c r="E59" s="26" t="s">
        <v>202</v>
      </c>
      <c r="F59" s="27" t="s">
        <v>203</v>
      </c>
      <c r="G59" s="28" t="s">
        <v>204</v>
      </c>
      <c r="H59" s="20" t="s">
        <v>42</v>
      </c>
      <c r="I59" s="21" t="s">
        <v>205</v>
      </c>
      <c r="J59" s="22"/>
    </row>
    <row r="60">
      <c r="A60" s="13">
        <f t="shared" si="14"/>
        <v>52</v>
      </c>
      <c r="B60" s="15" t="s">
        <v>60</v>
      </c>
      <c r="C60" s="34" t="s">
        <v>126</v>
      </c>
      <c r="D60" s="41">
        <v>2.0</v>
      </c>
      <c r="E60" s="17" t="s">
        <v>206</v>
      </c>
      <c r="F60" s="84" t="s">
        <v>207</v>
      </c>
      <c r="G60" s="19" t="s">
        <v>208</v>
      </c>
      <c r="H60" s="29" t="s">
        <v>42</v>
      </c>
      <c r="I60" s="30" t="s">
        <v>209</v>
      </c>
      <c r="J60" s="31"/>
    </row>
    <row r="61">
      <c r="A61" s="54">
        <f t="shared" si="14"/>
        <v>53</v>
      </c>
      <c r="B61" s="46" t="s">
        <v>60</v>
      </c>
      <c r="C61" s="46" t="s">
        <v>126</v>
      </c>
      <c r="D61" s="47">
        <v>2.0</v>
      </c>
      <c r="E61" s="48" t="s">
        <v>210</v>
      </c>
      <c r="F61" s="49" t="s">
        <v>211</v>
      </c>
      <c r="G61" s="50" t="s">
        <v>212</v>
      </c>
      <c r="H61" s="20" t="s">
        <v>213</v>
      </c>
      <c r="I61" s="21" t="s">
        <v>209</v>
      </c>
      <c r="J61" s="22"/>
    </row>
    <row r="62">
      <c r="A62" s="23">
        <f t="shared" si="14"/>
        <v>54</v>
      </c>
      <c r="B62" s="24" t="s">
        <v>136</v>
      </c>
      <c r="C62" s="24" t="s">
        <v>126</v>
      </c>
      <c r="D62" s="44">
        <v>2.0</v>
      </c>
      <c r="E62" s="60" t="s">
        <v>214</v>
      </c>
      <c r="F62" s="27" t="s">
        <v>215</v>
      </c>
      <c r="G62" s="28" t="s">
        <v>216</v>
      </c>
      <c r="H62" s="29" t="s">
        <v>25</v>
      </c>
      <c r="I62" s="39"/>
      <c r="J62" s="40"/>
    </row>
    <row r="63">
      <c r="A63" s="23">
        <f t="shared" si="14"/>
        <v>55</v>
      </c>
      <c r="B63" s="24" t="s">
        <v>47</v>
      </c>
      <c r="C63" s="24" t="s">
        <v>126</v>
      </c>
      <c r="D63" s="44">
        <v>2.0</v>
      </c>
      <c r="E63" s="26" t="s">
        <v>217</v>
      </c>
      <c r="F63" s="27" t="s">
        <v>218</v>
      </c>
      <c r="G63" s="66" t="s">
        <v>219</v>
      </c>
      <c r="H63" s="20" t="s">
        <v>220</v>
      </c>
      <c r="I63" s="21" t="s">
        <v>221</v>
      </c>
      <c r="J63" s="22"/>
    </row>
    <row r="64">
      <c r="A64" s="13">
        <f t="shared" si="14"/>
        <v>56</v>
      </c>
      <c r="B64" s="46" t="s">
        <v>60</v>
      </c>
      <c r="C64" s="46" t="s">
        <v>126</v>
      </c>
      <c r="D64" s="47">
        <v>2.0</v>
      </c>
      <c r="E64" s="48" t="s">
        <v>222</v>
      </c>
      <c r="F64" s="49" t="s">
        <v>223</v>
      </c>
      <c r="G64" s="50" t="s">
        <v>224</v>
      </c>
      <c r="H64" s="45" t="s">
        <v>55</v>
      </c>
      <c r="I64" s="39"/>
      <c r="J64" s="40"/>
    </row>
    <row r="65">
      <c r="A65" s="33">
        <f t="shared" ref="A65:A67" si="15">ROW() - 10</f>
        <v>55</v>
      </c>
      <c r="B65" s="34" t="s">
        <v>119</v>
      </c>
      <c r="C65" s="75" t="s">
        <v>126</v>
      </c>
      <c r="D65" s="52">
        <v>2.0</v>
      </c>
      <c r="E65" s="36" t="s">
        <v>225</v>
      </c>
      <c r="F65" s="37" t="s">
        <v>226</v>
      </c>
      <c r="G65" s="53" t="s">
        <v>227</v>
      </c>
      <c r="H65" s="20" t="s">
        <v>37</v>
      </c>
      <c r="I65" s="21" t="s">
        <v>228</v>
      </c>
      <c r="J65" s="22"/>
    </row>
    <row r="66">
      <c r="A66" s="13">
        <f t="shared" si="15"/>
        <v>56</v>
      </c>
      <c r="B66" s="15" t="s">
        <v>136</v>
      </c>
      <c r="C66" s="14" t="s">
        <v>126</v>
      </c>
      <c r="D66" s="41">
        <v>2.0</v>
      </c>
      <c r="E66" s="17" t="s">
        <v>229</v>
      </c>
      <c r="F66" s="18" t="s">
        <v>230</v>
      </c>
      <c r="G66" s="85" t="s">
        <v>231</v>
      </c>
      <c r="H66" s="29" t="s">
        <v>37</v>
      </c>
      <c r="I66" s="39"/>
      <c r="J66" s="31" t="s">
        <v>232</v>
      </c>
    </row>
    <row r="67">
      <c r="A67" s="23">
        <f t="shared" si="15"/>
        <v>57</v>
      </c>
      <c r="B67" s="24" t="s">
        <v>56</v>
      </c>
      <c r="C67" s="75" t="s">
        <v>126</v>
      </c>
      <c r="D67" s="44">
        <v>2.0</v>
      </c>
      <c r="E67" s="26" t="s">
        <v>233</v>
      </c>
      <c r="F67" s="27" t="s">
        <v>234</v>
      </c>
      <c r="G67" s="28" t="s">
        <v>235</v>
      </c>
      <c r="H67" s="20" t="s">
        <v>37</v>
      </c>
      <c r="I67" s="42"/>
      <c r="J67" s="43"/>
    </row>
    <row r="68">
      <c r="A68" s="33">
        <f t="shared" ref="A68:A75" si="16">ROW() - 8</f>
        <v>60</v>
      </c>
      <c r="B68" s="34" t="s">
        <v>98</v>
      </c>
      <c r="C68" s="34" t="s">
        <v>126</v>
      </c>
      <c r="D68" s="86">
        <v>2.0</v>
      </c>
      <c r="E68" s="87" t="s">
        <v>236</v>
      </c>
      <c r="F68" s="37" t="s">
        <v>237</v>
      </c>
      <c r="G68" s="53" t="s">
        <v>238</v>
      </c>
      <c r="H68" s="29" t="s">
        <v>42</v>
      </c>
      <c r="I68" s="30" t="s">
        <v>32</v>
      </c>
      <c r="J68" s="31"/>
    </row>
    <row r="69">
      <c r="A69" s="13">
        <f t="shared" si="16"/>
        <v>61</v>
      </c>
      <c r="B69" s="15" t="s">
        <v>38</v>
      </c>
      <c r="C69" s="15" t="s">
        <v>126</v>
      </c>
      <c r="D69" s="16">
        <v>2.0</v>
      </c>
      <c r="E69" s="17" t="s">
        <v>239</v>
      </c>
      <c r="F69" s="18" t="s">
        <v>240</v>
      </c>
      <c r="G69" s="19" t="s">
        <v>241</v>
      </c>
      <c r="H69" s="20" t="s">
        <v>25</v>
      </c>
      <c r="I69" s="21" t="s">
        <v>32</v>
      </c>
      <c r="J69" s="22"/>
    </row>
    <row r="70">
      <c r="A70" s="33">
        <f t="shared" si="16"/>
        <v>62</v>
      </c>
      <c r="B70" s="34" t="s">
        <v>43</v>
      </c>
      <c r="C70" s="34" t="s">
        <v>126</v>
      </c>
      <c r="D70" s="86">
        <v>2.0</v>
      </c>
      <c r="E70" s="36" t="s">
        <v>242</v>
      </c>
      <c r="F70" s="37" t="s">
        <v>243</v>
      </c>
      <c r="G70" s="53" t="s">
        <v>244</v>
      </c>
      <c r="H70" s="29" t="s">
        <v>42</v>
      </c>
      <c r="I70" s="30" t="s">
        <v>32</v>
      </c>
      <c r="J70" s="31"/>
    </row>
    <row r="71">
      <c r="A71" s="13">
        <f t="shared" si="16"/>
        <v>63</v>
      </c>
      <c r="B71" s="15" t="s">
        <v>43</v>
      </c>
      <c r="C71" s="15" t="s">
        <v>126</v>
      </c>
      <c r="D71" s="16">
        <v>2.0</v>
      </c>
      <c r="E71" s="17" t="s">
        <v>245</v>
      </c>
      <c r="F71" s="18" t="s">
        <v>246</v>
      </c>
      <c r="G71" s="19" t="s">
        <v>247</v>
      </c>
      <c r="H71" s="20" t="s">
        <v>158</v>
      </c>
      <c r="I71" s="21" t="s">
        <v>32</v>
      </c>
      <c r="J71" s="22"/>
    </row>
    <row r="72">
      <c r="A72" s="23">
        <f t="shared" si="16"/>
        <v>64</v>
      </c>
      <c r="B72" s="24" t="s">
        <v>43</v>
      </c>
      <c r="C72" s="24" t="s">
        <v>126</v>
      </c>
      <c r="D72" s="58">
        <v>2.0</v>
      </c>
      <c r="E72" s="26" t="s">
        <v>248</v>
      </c>
      <c r="F72" s="27" t="s">
        <v>249</v>
      </c>
      <c r="G72" s="28" t="s">
        <v>250</v>
      </c>
      <c r="H72" s="29" t="s">
        <v>42</v>
      </c>
      <c r="I72" s="30" t="s">
        <v>32</v>
      </c>
      <c r="J72" s="31"/>
    </row>
    <row r="73">
      <c r="A73" s="13">
        <f t="shared" si="16"/>
        <v>65</v>
      </c>
      <c r="B73" s="15" t="s">
        <v>20</v>
      </c>
      <c r="C73" s="73" t="s">
        <v>126</v>
      </c>
      <c r="D73" s="16">
        <v>2.0</v>
      </c>
      <c r="E73" s="17" t="s">
        <v>251</v>
      </c>
      <c r="F73" s="18" t="s">
        <v>252</v>
      </c>
      <c r="G73" s="88" t="s">
        <v>253</v>
      </c>
      <c r="H73" s="51" t="s">
        <v>51</v>
      </c>
      <c r="I73" s="21" t="s">
        <v>254</v>
      </c>
      <c r="J73" s="22"/>
    </row>
    <row r="74">
      <c r="A74" s="33">
        <f t="shared" si="16"/>
        <v>66</v>
      </c>
      <c r="B74" s="34" t="s">
        <v>186</v>
      </c>
      <c r="C74" s="34" t="s">
        <v>126</v>
      </c>
      <c r="D74" s="68">
        <v>1.0</v>
      </c>
      <c r="E74" s="36" t="s">
        <v>255</v>
      </c>
      <c r="F74" s="37" t="s">
        <v>256</v>
      </c>
      <c r="G74" s="89" t="s">
        <v>257</v>
      </c>
      <c r="H74" s="29" t="s">
        <v>42</v>
      </c>
      <c r="I74" s="30" t="s">
        <v>258</v>
      </c>
      <c r="J74" s="31" t="s">
        <v>232</v>
      </c>
    </row>
    <row r="75">
      <c r="A75" s="54">
        <f t="shared" si="16"/>
        <v>67</v>
      </c>
      <c r="B75" s="46" t="s">
        <v>136</v>
      </c>
      <c r="C75" s="73" t="s">
        <v>126</v>
      </c>
      <c r="D75" s="71">
        <v>1.0</v>
      </c>
      <c r="E75" s="48" t="s">
        <v>259</v>
      </c>
      <c r="F75" s="49" t="s">
        <v>260</v>
      </c>
      <c r="G75" s="85" t="s">
        <v>261</v>
      </c>
      <c r="H75" s="51" t="s">
        <v>51</v>
      </c>
      <c r="I75" s="42"/>
      <c r="J75" s="22" t="s">
        <v>232</v>
      </c>
    </row>
    <row r="76">
      <c r="A76" s="33">
        <f>ROW() - 10</f>
        <v>66</v>
      </c>
      <c r="B76" s="34" t="s">
        <v>43</v>
      </c>
      <c r="C76" s="90" t="s">
        <v>126</v>
      </c>
      <c r="D76" s="63">
        <v>1.0</v>
      </c>
      <c r="E76" s="36" t="s">
        <v>262</v>
      </c>
      <c r="F76" s="37" t="s">
        <v>263</v>
      </c>
      <c r="G76" s="53" t="s">
        <v>264</v>
      </c>
      <c r="H76" s="29" t="s">
        <v>37</v>
      </c>
      <c r="I76" s="39"/>
      <c r="J76" s="40"/>
    </row>
    <row r="77">
      <c r="A77" s="54">
        <f t="shared" ref="A77:A81" si="17">ROW() - 8</f>
        <v>69</v>
      </c>
      <c r="B77" s="46" t="s">
        <v>38</v>
      </c>
      <c r="C77" s="73" t="s">
        <v>126</v>
      </c>
      <c r="D77" s="62">
        <v>1.0</v>
      </c>
      <c r="E77" s="48" t="s">
        <v>265</v>
      </c>
      <c r="F77" s="49" t="s">
        <v>266</v>
      </c>
      <c r="G77" s="50" t="s">
        <v>267</v>
      </c>
      <c r="H77" s="51" t="s">
        <v>51</v>
      </c>
      <c r="I77" s="42"/>
      <c r="J77" s="43"/>
    </row>
    <row r="78">
      <c r="A78" s="33">
        <f t="shared" si="17"/>
        <v>70</v>
      </c>
      <c r="B78" s="34" t="s">
        <v>47</v>
      </c>
      <c r="C78" s="90" t="s">
        <v>126</v>
      </c>
      <c r="D78" s="63">
        <v>1.0</v>
      </c>
      <c r="E78" s="36" t="s">
        <v>268</v>
      </c>
      <c r="F78" s="37" t="s">
        <v>269</v>
      </c>
      <c r="G78" s="53" t="s">
        <v>270</v>
      </c>
      <c r="H78" s="45" t="s">
        <v>51</v>
      </c>
      <c r="I78" s="39"/>
      <c r="J78" s="40"/>
    </row>
    <row r="79">
      <c r="A79" s="13">
        <f t="shared" si="17"/>
        <v>71</v>
      </c>
      <c r="B79" s="15" t="s">
        <v>38</v>
      </c>
      <c r="C79" s="15" t="s">
        <v>126</v>
      </c>
      <c r="D79" s="16">
        <v>0.0</v>
      </c>
      <c r="E79" s="91" t="s">
        <v>271</v>
      </c>
      <c r="F79" s="18" t="s">
        <v>272</v>
      </c>
      <c r="G79" s="85" t="s">
        <v>273</v>
      </c>
      <c r="H79" s="20" t="s">
        <v>42</v>
      </c>
      <c r="I79" s="21" t="s">
        <v>274</v>
      </c>
      <c r="J79" s="22" t="s">
        <v>275</v>
      </c>
    </row>
    <row r="80">
      <c r="A80" s="33">
        <f t="shared" si="17"/>
        <v>72</v>
      </c>
      <c r="B80" s="24" t="s">
        <v>20</v>
      </c>
      <c r="C80" s="24" t="s">
        <v>126</v>
      </c>
      <c r="D80" s="67">
        <v>0.0</v>
      </c>
      <c r="E80" s="26" t="s">
        <v>276</v>
      </c>
      <c r="F80" s="27" t="s">
        <v>277</v>
      </c>
      <c r="G80" s="28" t="s">
        <v>278</v>
      </c>
      <c r="H80" s="45" t="s">
        <v>55</v>
      </c>
      <c r="I80" s="39"/>
      <c r="J80" s="40"/>
    </row>
    <row r="81">
      <c r="A81" s="13">
        <f t="shared" si="17"/>
        <v>73</v>
      </c>
      <c r="B81" s="15" t="s">
        <v>43</v>
      </c>
      <c r="C81" s="15" t="s">
        <v>126</v>
      </c>
      <c r="D81" s="16">
        <v>3.0</v>
      </c>
      <c r="E81" s="91" t="s">
        <v>279</v>
      </c>
      <c r="F81" s="18" t="s">
        <v>280</v>
      </c>
      <c r="G81" s="19" t="s">
        <v>281</v>
      </c>
      <c r="H81" s="20" t="s">
        <v>42</v>
      </c>
      <c r="I81" s="21" t="s">
        <v>282</v>
      </c>
      <c r="J81" s="22"/>
    </row>
    <row r="82">
      <c r="A82" s="54">
        <f>ROW() - 10</f>
        <v>72</v>
      </c>
      <c r="B82" s="46" t="s">
        <v>27</v>
      </c>
      <c r="C82" s="73" t="s">
        <v>126</v>
      </c>
      <c r="D82" s="78">
        <v>3.0</v>
      </c>
      <c r="E82" s="48" t="s">
        <v>283</v>
      </c>
      <c r="F82" s="49" t="s">
        <v>284</v>
      </c>
      <c r="G82" s="50" t="s">
        <v>285</v>
      </c>
      <c r="H82" s="29" t="s">
        <v>37</v>
      </c>
      <c r="I82" s="30" t="s">
        <v>32</v>
      </c>
      <c r="J82" s="31"/>
      <c r="K82" s="92"/>
      <c r="L82" s="92"/>
      <c r="M82" s="92"/>
      <c r="N82" s="92"/>
      <c r="O82" s="92"/>
      <c r="P82" s="92"/>
      <c r="Q82" s="92"/>
      <c r="R82" s="92"/>
      <c r="S82" s="92"/>
      <c r="T82" s="92"/>
      <c r="U82" s="92"/>
      <c r="V82" s="92"/>
      <c r="W82" s="92"/>
      <c r="X82" s="92"/>
      <c r="Y82" s="92"/>
      <c r="Z82" s="92"/>
      <c r="AA82" s="92"/>
      <c r="AB82" s="92"/>
      <c r="AC82" s="92"/>
      <c r="AD82" s="92"/>
      <c r="AE82" s="92"/>
      <c r="AF82" s="92"/>
    </row>
    <row r="83">
      <c r="A83" s="54">
        <f t="shared" ref="A83:A84" si="18">ROW() - 8</f>
        <v>75</v>
      </c>
      <c r="B83" s="73" t="s">
        <v>20</v>
      </c>
      <c r="C83" s="46" t="s">
        <v>286</v>
      </c>
      <c r="D83" s="78">
        <v>4.0</v>
      </c>
      <c r="E83" s="48" t="s">
        <v>287</v>
      </c>
      <c r="F83" s="49" t="s">
        <v>288</v>
      </c>
      <c r="G83" s="50" t="s">
        <v>289</v>
      </c>
      <c r="H83" s="20" t="s">
        <v>213</v>
      </c>
      <c r="I83" s="21" t="s">
        <v>32</v>
      </c>
      <c r="J83" s="22"/>
      <c r="K83" s="92"/>
      <c r="L83" s="92"/>
      <c r="M83" s="92"/>
      <c r="N83" s="92"/>
      <c r="O83" s="92"/>
      <c r="P83" s="92"/>
      <c r="Q83" s="92"/>
      <c r="R83" s="92"/>
      <c r="S83" s="92"/>
      <c r="T83" s="92"/>
      <c r="U83" s="92"/>
      <c r="V83" s="92"/>
      <c r="W83" s="92"/>
      <c r="X83" s="92"/>
      <c r="Y83" s="92"/>
      <c r="Z83" s="92"/>
      <c r="AA83" s="92"/>
      <c r="AB83" s="92"/>
      <c r="AC83" s="92"/>
      <c r="AD83" s="92"/>
      <c r="AE83" s="92"/>
      <c r="AF83" s="92"/>
    </row>
    <row r="84">
      <c r="A84" s="13">
        <f t="shared" si="18"/>
        <v>76</v>
      </c>
      <c r="B84" s="15" t="s">
        <v>38</v>
      </c>
      <c r="C84" s="15" t="s">
        <v>286</v>
      </c>
      <c r="D84" s="16">
        <v>2.0</v>
      </c>
      <c r="E84" s="17" t="s">
        <v>290</v>
      </c>
      <c r="F84" s="18" t="s">
        <v>291</v>
      </c>
      <c r="G84" s="19" t="s">
        <v>292</v>
      </c>
      <c r="H84" s="29" t="s">
        <v>42</v>
      </c>
      <c r="I84" s="30" t="s">
        <v>293</v>
      </c>
      <c r="J84" s="31"/>
      <c r="K84" s="92"/>
      <c r="L84" s="92"/>
      <c r="M84" s="92"/>
      <c r="N84" s="92"/>
      <c r="O84" s="92"/>
      <c r="P84" s="92"/>
      <c r="Q84" s="92"/>
      <c r="R84" s="92"/>
      <c r="S84" s="92"/>
      <c r="T84" s="92"/>
      <c r="U84" s="92"/>
      <c r="V84" s="92"/>
      <c r="W84" s="92"/>
      <c r="X84" s="92"/>
      <c r="Y84" s="92"/>
      <c r="Z84" s="92"/>
      <c r="AA84" s="92"/>
      <c r="AB84" s="92"/>
      <c r="AC84" s="92"/>
      <c r="AD84" s="92"/>
      <c r="AE84" s="92"/>
      <c r="AF84" s="92"/>
    </row>
    <row r="85">
      <c r="A85" s="23">
        <f t="shared" ref="A85:A87" si="19">ROW() - 10</f>
        <v>75</v>
      </c>
      <c r="B85" s="24" t="s">
        <v>27</v>
      </c>
      <c r="C85" s="24" t="s">
        <v>286</v>
      </c>
      <c r="D85" s="25">
        <v>1.0</v>
      </c>
      <c r="E85" s="26" t="s">
        <v>294</v>
      </c>
      <c r="F85" s="27" t="s">
        <v>295</v>
      </c>
      <c r="G85" s="28" t="s">
        <v>296</v>
      </c>
      <c r="H85" s="51" t="s">
        <v>55</v>
      </c>
      <c r="I85" s="21" t="s">
        <v>297</v>
      </c>
      <c r="J85" s="22"/>
      <c r="K85" s="92"/>
      <c r="L85" s="92"/>
      <c r="M85" s="92"/>
      <c r="N85" s="92"/>
      <c r="O85" s="92"/>
      <c r="P85" s="92"/>
      <c r="Q85" s="92"/>
      <c r="R85" s="92"/>
      <c r="S85" s="92"/>
      <c r="T85" s="92"/>
      <c r="U85" s="92"/>
      <c r="V85" s="92"/>
      <c r="W85" s="92"/>
      <c r="X85" s="92"/>
      <c r="Y85" s="92"/>
      <c r="Z85" s="92"/>
      <c r="AA85" s="92"/>
      <c r="AB85" s="92"/>
      <c r="AC85" s="92"/>
      <c r="AD85" s="92"/>
      <c r="AE85" s="92"/>
      <c r="AF85" s="92"/>
    </row>
    <row r="86">
      <c r="A86" s="54">
        <f t="shared" si="19"/>
        <v>76</v>
      </c>
      <c r="B86" s="46" t="s">
        <v>56</v>
      </c>
      <c r="C86" s="73" t="s">
        <v>286</v>
      </c>
      <c r="D86" s="71">
        <v>1.0</v>
      </c>
      <c r="E86" s="48" t="s">
        <v>298</v>
      </c>
      <c r="F86" s="49" t="s">
        <v>299</v>
      </c>
      <c r="G86" s="50" t="s">
        <v>300</v>
      </c>
      <c r="H86" s="29" t="s">
        <v>37</v>
      </c>
      <c r="I86" s="30" t="s">
        <v>301</v>
      </c>
      <c r="J86" s="31"/>
      <c r="K86" s="92"/>
      <c r="L86" s="92"/>
      <c r="M86" s="92"/>
      <c r="N86" s="92"/>
      <c r="O86" s="92"/>
      <c r="P86" s="92"/>
      <c r="Q86" s="92"/>
      <c r="R86" s="92"/>
      <c r="S86" s="92"/>
      <c r="T86" s="92"/>
      <c r="U86" s="92"/>
      <c r="V86" s="92"/>
      <c r="W86" s="92"/>
      <c r="X86" s="92"/>
      <c r="Y86" s="92"/>
      <c r="Z86" s="92"/>
      <c r="AA86" s="92"/>
      <c r="AB86" s="92"/>
      <c r="AC86" s="92"/>
      <c r="AD86" s="92"/>
      <c r="AE86" s="92"/>
      <c r="AF86" s="92"/>
    </row>
    <row r="87">
      <c r="A87" s="13">
        <f t="shared" si="19"/>
        <v>77</v>
      </c>
      <c r="B87" s="15" t="s">
        <v>38</v>
      </c>
      <c r="C87" s="14" t="s">
        <v>286</v>
      </c>
      <c r="D87" s="64">
        <v>1.0</v>
      </c>
      <c r="E87" s="17" t="s">
        <v>302</v>
      </c>
      <c r="F87" s="18" t="s">
        <v>303</v>
      </c>
      <c r="G87" s="85" t="s">
        <v>304</v>
      </c>
      <c r="H87" s="20" t="s">
        <v>37</v>
      </c>
      <c r="I87" s="42"/>
      <c r="J87" s="22" t="s">
        <v>305</v>
      </c>
      <c r="K87" s="92"/>
      <c r="L87" s="92"/>
      <c r="M87" s="92"/>
      <c r="N87" s="92"/>
      <c r="O87" s="92"/>
      <c r="P87" s="92"/>
      <c r="Q87" s="92"/>
      <c r="R87" s="92"/>
      <c r="S87" s="92"/>
      <c r="T87" s="92"/>
      <c r="U87" s="92"/>
      <c r="V87" s="92"/>
      <c r="W87" s="92"/>
      <c r="X87" s="92"/>
      <c r="Y87" s="92"/>
      <c r="Z87" s="92"/>
      <c r="AA87" s="92"/>
      <c r="AB87" s="92"/>
      <c r="AC87" s="92"/>
      <c r="AD87" s="92"/>
      <c r="AE87" s="92"/>
      <c r="AF87" s="92"/>
    </row>
    <row r="88">
      <c r="A88" s="33">
        <f>ROW() - 8</f>
        <v>80</v>
      </c>
      <c r="B88" s="24" t="s">
        <v>47</v>
      </c>
      <c r="C88" s="24" t="s">
        <v>286</v>
      </c>
      <c r="D88" s="25">
        <v>3.0</v>
      </c>
      <c r="E88" s="26" t="s">
        <v>306</v>
      </c>
      <c r="F88" s="27" t="s">
        <v>307</v>
      </c>
      <c r="G88" s="93" t="s">
        <v>308</v>
      </c>
      <c r="H88" s="45" t="s">
        <v>55</v>
      </c>
      <c r="I88" s="30" t="s">
        <v>309</v>
      </c>
      <c r="J88" s="31"/>
      <c r="K88" s="92"/>
      <c r="L88" s="92"/>
      <c r="M88" s="92"/>
      <c r="N88" s="92"/>
      <c r="O88" s="92"/>
      <c r="P88" s="92"/>
      <c r="Q88" s="92"/>
      <c r="R88" s="92"/>
      <c r="S88" s="92"/>
      <c r="T88" s="92"/>
      <c r="U88" s="92"/>
      <c r="V88" s="92"/>
      <c r="W88" s="92"/>
      <c r="X88" s="92"/>
      <c r="Y88" s="92"/>
      <c r="Z88" s="92"/>
      <c r="AA88" s="92"/>
      <c r="AB88" s="92"/>
      <c r="AC88" s="92"/>
      <c r="AD88" s="92"/>
      <c r="AE88" s="92"/>
      <c r="AF88" s="92"/>
    </row>
    <row r="89">
      <c r="A89" s="33">
        <f t="shared" ref="A89:A91" si="20">ROW() - 10</f>
        <v>79</v>
      </c>
      <c r="B89" s="34" t="s">
        <v>60</v>
      </c>
      <c r="C89" s="75" t="s">
        <v>310</v>
      </c>
      <c r="D89" s="69">
        <v>2.0</v>
      </c>
      <c r="E89" s="36" t="s">
        <v>311</v>
      </c>
      <c r="F89" s="37" t="s">
        <v>312</v>
      </c>
      <c r="G89" s="89" t="s">
        <v>313</v>
      </c>
      <c r="H89" s="20" t="s">
        <v>37</v>
      </c>
      <c r="I89" s="21" t="s">
        <v>314</v>
      </c>
      <c r="J89" s="22" t="s">
        <v>315</v>
      </c>
      <c r="K89" s="92"/>
      <c r="L89" s="92"/>
      <c r="M89" s="92"/>
      <c r="N89" s="92"/>
      <c r="O89" s="92"/>
      <c r="P89" s="92"/>
      <c r="Q89" s="92"/>
      <c r="R89" s="92"/>
      <c r="S89" s="92"/>
      <c r="T89" s="92"/>
      <c r="U89" s="92"/>
      <c r="V89" s="92"/>
      <c r="W89" s="92"/>
      <c r="X89" s="92"/>
      <c r="Y89" s="92"/>
      <c r="Z89" s="92"/>
      <c r="AA89" s="92"/>
      <c r="AB89" s="92"/>
      <c r="AC89" s="92"/>
      <c r="AD89" s="92"/>
      <c r="AE89" s="92"/>
      <c r="AF89" s="92"/>
    </row>
    <row r="90">
      <c r="A90" s="13">
        <f t="shared" si="20"/>
        <v>80</v>
      </c>
      <c r="B90" s="15" t="s">
        <v>20</v>
      </c>
      <c r="C90" s="75" t="s">
        <v>310</v>
      </c>
      <c r="D90" s="70">
        <v>2.0</v>
      </c>
      <c r="E90" s="17" t="s">
        <v>316</v>
      </c>
      <c r="F90" s="18" t="s">
        <v>317</v>
      </c>
      <c r="G90" s="19" t="s">
        <v>318</v>
      </c>
      <c r="H90" s="29" t="s">
        <v>37</v>
      </c>
      <c r="I90" s="30" t="s">
        <v>221</v>
      </c>
      <c r="J90" s="31"/>
      <c r="K90" s="92"/>
      <c r="L90" s="92"/>
      <c r="M90" s="92"/>
      <c r="N90" s="92"/>
      <c r="O90" s="92"/>
      <c r="P90" s="92"/>
      <c r="Q90" s="92"/>
      <c r="R90" s="92"/>
      <c r="S90" s="92"/>
      <c r="T90" s="92"/>
      <c r="U90" s="92"/>
      <c r="V90" s="92"/>
      <c r="W90" s="92"/>
      <c r="X90" s="92"/>
      <c r="Y90" s="92"/>
      <c r="Z90" s="92"/>
      <c r="AA90" s="92"/>
      <c r="AB90" s="92"/>
      <c r="AC90" s="92"/>
      <c r="AD90" s="92"/>
      <c r="AE90" s="92"/>
      <c r="AF90" s="92"/>
    </row>
    <row r="91">
      <c r="A91" s="54">
        <f t="shared" si="20"/>
        <v>81</v>
      </c>
      <c r="B91" s="46" t="s">
        <v>43</v>
      </c>
      <c r="C91" s="90" t="s">
        <v>310</v>
      </c>
      <c r="D91" s="78">
        <v>2.0</v>
      </c>
      <c r="E91" s="48" t="s">
        <v>319</v>
      </c>
      <c r="F91" s="49" t="s">
        <v>320</v>
      </c>
      <c r="G91" s="50" t="s">
        <v>321</v>
      </c>
      <c r="H91" s="20" t="s">
        <v>37</v>
      </c>
      <c r="I91" s="21" t="s">
        <v>32</v>
      </c>
      <c r="J91" s="22"/>
      <c r="K91" s="92"/>
      <c r="L91" s="92"/>
      <c r="M91" s="92"/>
      <c r="N91" s="92"/>
      <c r="O91" s="92"/>
      <c r="P91" s="92"/>
      <c r="Q91" s="92"/>
      <c r="R91" s="92"/>
      <c r="S91" s="92"/>
      <c r="T91" s="92"/>
      <c r="U91" s="92"/>
      <c r="V91" s="92"/>
      <c r="W91" s="92"/>
      <c r="X91" s="92"/>
      <c r="Y91" s="92"/>
      <c r="Z91" s="92"/>
      <c r="AA91" s="92"/>
      <c r="AB91" s="92"/>
      <c r="AC91" s="92"/>
      <c r="AD91" s="92"/>
      <c r="AE91" s="92"/>
      <c r="AF91" s="92"/>
    </row>
    <row r="92">
      <c r="A92" s="23">
        <f>ROW() - 8</f>
        <v>84</v>
      </c>
      <c r="B92" s="15" t="s">
        <v>60</v>
      </c>
      <c r="C92" s="34" t="s">
        <v>310</v>
      </c>
      <c r="D92" s="64">
        <v>1.0</v>
      </c>
      <c r="E92" s="17" t="s">
        <v>322</v>
      </c>
      <c r="F92" s="18" t="s">
        <v>323</v>
      </c>
      <c r="G92" s="19" t="s">
        <v>324</v>
      </c>
      <c r="H92" s="45" t="s">
        <v>55</v>
      </c>
      <c r="I92" s="30" t="s">
        <v>325</v>
      </c>
      <c r="J92" s="31"/>
      <c r="K92" s="92"/>
      <c r="L92" s="92"/>
      <c r="M92" s="92"/>
      <c r="N92" s="92"/>
      <c r="O92" s="92"/>
      <c r="P92" s="92"/>
      <c r="Q92" s="92"/>
      <c r="R92" s="92"/>
      <c r="S92" s="92"/>
      <c r="T92" s="92"/>
      <c r="U92" s="92"/>
      <c r="V92" s="92"/>
      <c r="W92" s="92"/>
      <c r="X92" s="92"/>
      <c r="Y92" s="92"/>
      <c r="Z92" s="92"/>
      <c r="AA92" s="92"/>
      <c r="AB92" s="92"/>
      <c r="AC92" s="92"/>
      <c r="AD92" s="92"/>
      <c r="AE92" s="92"/>
      <c r="AF92" s="92"/>
    </row>
    <row r="93">
      <c r="A93" s="54">
        <f t="shared" ref="A93:A95" si="21">ROW() - 10</f>
        <v>83</v>
      </c>
      <c r="B93" s="34" t="s">
        <v>43</v>
      </c>
      <c r="C93" s="34" t="s">
        <v>310</v>
      </c>
      <c r="D93" s="63">
        <v>1.0</v>
      </c>
      <c r="E93" s="36" t="s">
        <v>326</v>
      </c>
      <c r="F93" s="37" t="s">
        <v>327</v>
      </c>
      <c r="G93" s="53" t="s">
        <v>328</v>
      </c>
      <c r="H93" s="20" t="s">
        <v>55</v>
      </c>
      <c r="I93" s="42"/>
      <c r="J93" s="43"/>
      <c r="K93" s="92"/>
      <c r="L93" s="92"/>
      <c r="M93" s="92"/>
      <c r="N93" s="92"/>
      <c r="O93" s="92"/>
      <c r="P93" s="92"/>
      <c r="Q93" s="92"/>
      <c r="R93" s="92"/>
      <c r="S93" s="92"/>
      <c r="T93" s="92"/>
      <c r="U93" s="92"/>
      <c r="V93" s="92"/>
      <c r="W93" s="92"/>
      <c r="X93" s="92"/>
      <c r="Y93" s="92"/>
      <c r="Z93" s="92"/>
      <c r="AA93" s="92"/>
      <c r="AB93" s="92"/>
      <c r="AC93" s="92"/>
      <c r="AD93" s="92"/>
      <c r="AE93" s="92"/>
      <c r="AF93" s="92"/>
    </row>
    <row r="94">
      <c r="A94" s="33">
        <f t="shared" si="21"/>
        <v>84</v>
      </c>
      <c r="B94" s="15" t="s">
        <v>33</v>
      </c>
      <c r="C94" s="14" t="s">
        <v>310</v>
      </c>
      <c r="D94" s="64">
        <v>1.0</v>
      </c>
      <c r="E94" s="17" t="s">
        <v>329</v>
      </c>
      <c r="F94" s="18" t="s">
        <v>330</v>
      </c>
      <c r="G94" s="19" t="s">
        <v>331</v>
      </c>
      <c r="H94" s="29" t="s">
        <v>37</v>
      </c>
      <c r="I94" s="39"/>
      <c r="J94" s="40"/>
      <c r="K94" s="92"/>
      <c r="L94" s="92"/>
      <c r="M94" s="92"/>
      <c r="N94" s="92"/>
      <c r="O94" s="92"/>
      <c r="P94" s="92"/>
      <c r="Q94" s="92"/>
      <c r="R94" s="92"/>
      <c r="S94" s="92"/>
      <c r="T94" s="92"/>
      <c r="U94" s="92"/>
      <c r="V94" s="92"/>
      <c r="W94" s="92"/>
      <c r="X94" s="92"/>
      <c r="Y94" s="92"/>
      <c r="Z94" s="92"/>
      <c r="AA94" s="92"/>
      <c r="AB94" s="92"/>
      <c r="AC94" s="92"/>
      <c r="AD94" s="92"/>
      <c r="AE94" s="92"/>
      <c r="AF94" s="92"/>
    </row>
    <row r="95">
      <c r="A95" s="54">
        <f t="shared" si="21"/>
        <v>85</v>
      </c>
      <c r="B95" s="24" t="s">
        <v>38</v>
      </c>
      <c r="C95" s="90" t="s">
        <v>310</v>
      </c>
      <c r="D95" s="65">
        <v>1.0</v>
      </c>
      <c r="E95" s="26" t="s">
        <v>332</v>
      </c>
      <c r="F95" s="27" t="s">
        <v>333</v>
      </c>
      <c r="G95" s="94" t="s">
        <v>334</v>
      </c>
      <c r="H95" s="20" t="s">
        <v>37</v>
      </c>
      <c r="I95" s="42"/>
      <c r="J95" s="22" t="s">
        <v>335</v>
      </c>
      <c r="K95" s="92"/>
      <c r="L95" s="92"/>
      <c r="M95" s="92"/>
      <c r="N95" s="92"/>
      <c r="O95" s="92"/>
      <c r="P95" s="92"/>
      <c r="Q95" s="92"/>
      <c r="R95" s="92"/>
      <c r="S95" s="92"/>
      <c r="T95" s="92"/>
      <c r="U95" s="92"/>
      <c r="V95" s="92"/>
      <c r="W95" s="92"/>
      <c r="X95" s="92"/>
      <c r="Y95" s="92"/>
      <c r="Z95" s="92"/>
      <c r="AA95" s="92"/>
      <c r="AB95" s="92"/>
      <c r="AC95" s="92"/>
      <c r="AD95" s="92"/>
      <c r="AE95" s="92"/>
      <c r="AF95" s="92"/>
    </row>
    <row r="96">
      <c r="A96" s="33">
        <f t="shared" ref="A96:A99" si="22">ROW() - 8</f>
        <v>88</v>
      </c>
      <c r="B96" s="15" t="s">
        <v>33</v>
      </c>
      <c r="C96" s="15" t="s">
        <v>336</v>
      </c>
      <c r="D96" s="70">
        <v>4.0</v>
      </c>
      <c r="E96" s="17" t="s">
        <v>337</v>
      </c>
      <c r="F96" s="18" t="s">
        <v>338</v>
      </c>
      <c r="G96" s="95" t="s">
        <v>339</v>
      </c>
      <c r="H96" s="45" t="s">
        <v>51</v>
      </c>
      <c r="I96" s="30" t="s">
        <v>340</v>
      </c>
      <c r="J96" s="31"/>
    </row>
    <row r="97">
      <c r="A97" s="13">
        <f t="shared" si="22"/>
        <v>89</v>
      </c>
      <c r="B97" s="34" t="s">
        <v>20</v>
      </c>
      <c r="C97" s="34" t="s">
        <v>336</v>
      </c>
      <c r="D97" s="86">
        <v>3.0</v>
      </c>
      <c r="E97" s="87" t="s">
        <v>341</v>
      </c>
      <c r="F97" s="37" t="s">
        <v>342</v>
      </c>
      <c r="G97" s="93" t="s">
        <v>343</v>
      </c>
      <c r="H97" s="20" t="s">
        <v>42</v>
      </c>
      <c r="I97" s="21" t="s">
        <v>32</v>
      </c>
      <c r="J97" s="22"/>
    </row>
    <row r="98">
      <c r="A98" s="54">
        <f t="shared" si="22"/>
        <v>90</v>
      </c>
      <c r="B98" s="24" t="s">
        <v>119</v>
      </c>
      <c r="C98" s="24" t="s">
        <v>336</v>
      </c>
      <c r="D98" s="25">
        <v>3.0</v>
      </c>
      <c r="E98" s="26" t="s">
        <v>344</v>
      </c>
      <c r="F98" s="61" t="s">
        <v>345</v>
      </c>
      <c r="G98" s="66" t="s">
        <v>346</v>
      </c>
      <c r="H98" s="29" t="s">
        <v>158</v>
      </c>
      <c r="I98" s="39"/>
      <c r="J98" s="40"/>
      <c r="K98" s="92"/>
      <c r="L98" s="92"/>
      <c r="M98" s="92"/>
      <c r="N98" s="92"/>
      <c r="O98" s="92"/>
      <c r="P98" s="92"/>
      <c r="Q98" s="92"/>
      <c r="R98" s="92"/>
      <c r="S98" s="92"/>
      <c r="T98" s="92"/>
      <c r="U98" s="92"/>
      <c r="V98" s="92"/>
      <c r="W98" s="92"/>
      <c r="X98" s="92"/>
      <c r="Y98" s="92"/>
      <c r="Z98" s="92"/>
      <c r="AA98" s="92"/>
      <c r="AB98" s="92"/>
      <c r="AC98" s="92"/>
      <c r="AD98" s="92"/>
      <c r="AE98" s="92"/>
      <c r="AF98" s="92"/>
    </row>
    <row r="99">
      <c r="A99" s="13">
        <f t="shared" si="22"/>
        <v>91</v>
      </c>
      <c r="B99" s="34" t="s">
        <v>43</v>
      </c>
      <c r="C99" s="34" t="s">
        <v>336</v>
      </c>
      <c r="D99" s="35">
        <v>2.0</v>
      </c>
      <c r="E99" s="36" t="s">
        <v>347</v>
      </c>
      <c r="F99" s="37" t="s">
        <v>348</v>
      </c>
      <c r="G99" s="89" t="s">
        <v>349</v>
      </c>
      <c r="H99" s="20" t="s">
        <v>82</v>
      </c>
      <c r="I99" s="42"/>
      <c r="J99" s="22" t="s">
        <v>350</v>
      </c>
      <c r="K99" s="92"/>
      <c r="L99" s="92"/>
      <c r="M99" s="92"/>
      <c r="N99" s="92"/>
      <c r="O99" s="92"/>
      <c r="P99" s="92"/>
      <c r="Q99" s="92"/>
      <c r="R99" s="92"/>
      <c r="S99" s="92"/>
      <c r="T99" s="92"/>
      <c r="U99" s="92"/>
      <c r="V99" s="92"/>
      <c r="W99" s="92"/>
      <c r="X99" s="92"/>
      <c r="Y99" s="92"/>
      <c r="Z99" s="92"/>
      <c r="AA99" s="92"/>
      <c r="AB99" s="92"/>
      <c r="AC99" s="92"/>
      <c r="AD99" s="92"/>
      <c r="AE99" s="92"/>
      <c r="AF99" s="92"/>
    </row>
    <row r="100">
      <c r="A100" s="23">
        <f t="shared" ref="A100:A101" si="23">ROW() - 10</f>
        <v>90</v>
      </c>
      <c r="B100" s="46" t="s">
        <v>27</v>
      </c>
      <c r="C100" s="73" t="s">
        <v>336</v>
      </c>
      <c r="D100" s="47">
        <v>2.0</v>
      </c>
      <c r="E100" s="48" t="s">
        <v>351</v>
      </c>
      <c r="F100" s="49" t="s">
        <v>352</v>
      </c>
      <c r="G100" s="50" t="s">
        <v>353</v>
      </c>
      <c r="H100" s="29" t="s">
        <v>37</v>
      </c>
      <c r="I100" s="39"/>
      <c r="J100" s="40"/>
      <c r="K100" s="92"/>
      <c r="L100" s="92"/>
      <c r="M100" s="92"/>
      <c r="N100" s="92"/>
      <c r="O100" s="92"/>
      <c r="P100" s="92"/>
      <c r="Q100" s="92"/>
      <c r="R100" s="92"/>
      <c r="S100" s="92"/>
      <c r="T100" s="92"/>
      <c r="U100" s="92"/>
      <c r="V100" s="92"/>
      <c r="W100" s="92"/>
      <c r="X100" s="92"/>
      <c r="Y100" s="92"/>
      <c r="Z100" s="92"/>
      <c r="AA100" s="92"/>
      <c r="AB100" s="92"/>
      <c r="AC100" s="92"/>
      <c r="AD100" s="92"/>
      <c r="AE100" s="92"/>
      <c r="AF100" s="92"/>
    </row>
    <row r="101">
      <c r="A101" s="33">
        <f t="shared" si="23"/>
        <v>91</v>
      </c>
      <c r="B101" s="15" t="s">
        <v>186</v>
      </c>
      <c r="C101" s="14" t="s">
        <v>336</v>
      </c>
      <c r="D101" s="41">
        <v>2.0</v>
      </c>
      <c r="E101" s="17" t="s">
        <v>354</v>
      </c>
      <c r="F101" s="18" t="s">
        <v>355</v>
      </c>
      <c r="G101" s="19" t="s">
        <v>356</v>
      </c>
      <c r="H101" s="20" t="s">
        <v>37</v>
      </c>
      <c r="I101" s="42"/>
      <c r="J101" s="43"/>
      <c r="K101" s="92"/>
      <c r="L101" s="92"/>
      <c r="M101" s="92"/>
      <c r="N101" s="92"/>
      <c r="O101" s="92"/>
      <c r="P101" s="92"/>
      <c r="Q101" s="92"/>
      <c r="R101" s="92"/>
      <c r="S101" s="92"/>
      <c r="T101" s="92"/>
      <c r="U101" s="92"/>
      <c r="V101" s="92"/>
      <c r="W101" s="92"/>
      <c r="X101" s="92"/>
      <c r="Y101" s="92"/>
      <c r="Z101" s="92"/>
      <c r="AA101" s="92"/>
      <c r="AB101" s="92"/>
      <c r="AC101" s="92"/>
      <c r="AD101" s="92"/>
      <c r="AE101" s="92"/>
      <c r="AF101" s="92"/>
    </row>
    <row r="102">
      <c r="A102" s="13">
        <f t="shared" ref="A102:A108" si="24">ROW() - 8</f>
        <v>94</v>
      </c>
      <c r="B102" s="34" t="s">
        <v>38</v>
      </c>
      <c r="C102" s="34" t="s">
        <v>336</v>
      </c>
      <c r="D102" s="86">
        <v>2.0</v>
      </c>
      <c r="E102" s="36" t="s">
        <v>357</v>
      </c>
      <c r="F102" s="37" t="s">
        <v>358</v>
      </c>
      <c r="G102" s="53" t="s">
        <v>359</v>
      </c>
      <c r="H102" s="29" t="s">
        <v>42</v>
      </c>
      <c r="I102" s="30" t="s">
        <v>32</v>
      </c>
      <c r="J102" s="31"/>
      <c r="K102" s="92"/>
      <c r="L102" s="92"/>
      <c r="M102" s="92"/>
      <c r="N102" s="92"/>
      <c r="O102" s="92"/>
      <c r="P102" s="92"/>
      <c r="Q102" s="92"/>
      <c r="R102" s="92"/>
      <c r="S102" s="92"/>
      <c r="T102" s="92"/>
      <c r="U102" s="92"/>
      <c r="V102" s="92"/>
      <c r="W102" s="92"/>
      <c r="X102" s="92"/>
      <c r="Y102" s="92"/>
      <c r="Z102" s="92"/>
      <c r="AA102" s="92"/>
      <c r="AB102" s="92"/>
      <c r="AC102" s="92"/>
      <c r="AD102" s="92"/>
      <c r="AE102" s="92"/>
      <c r="AF102" s="92"/>
    </row>
    <row r="103">
      <c r="A103" s="54">
        <f t="shared" si="24"/>
        <v>95</v>
      </c>
      <c r="B103" s="24" t="s">
        <v>38</v>
      </c>
      <c r="C103" s="24" t="s">
        <v>336</v>
      </c>
      <c r="D103" s="58">
        <v>2.0</v>
      </c>
      <c r="E103" s="26" t="s">
        <v>360</v>
      </c>
      <c r="F103" s="27" t="s">
        <v>361</v>
      </c>
      <c r="G103" s="28" t="s">
        <v>362</v>
      </c>
      <c r="H103" s="20" t="s">
        <v>363</v>
      </c>
      <c r="I103" s="21" t="s">
        <v>32</v>
      </c>
      <c r="J103" s="22"/>
      <c r="K103" s="92"/>
      <c r="L103" s="92"/>
      <c r="M103" s="92"/>
      <c r="N103" s="92"/>
      <c r="O103" s="92"/>
      <c r="P103" s="92"/>
      <c r="Q103" s="92"/>
      <c r="R103" s="92"/>
      <c r="S103" s="92"/>
      <c r="T103" s="92"/>
      <c r="U103" s="92"/>
      <c r="V103" s="92"/>
      <c r="W103" s="92"/>
      <c r="X103" s="92"/>
      <c r="Y103" s="92"/>
      <c r="Z103" s="92"/>
      <c r="AA103" s="92"/>
      <c r="AB103" s="92"/>
      <c r="AC103" s="92"/>
      <c r="AD103" s="92"/>
      <c r="AE103" s="92"/>
      <c r="AF103" s="92"/>
    </row>
    <row r="104">
      <c r="A104" s="33">
        <f t="shared" si="24"/>
        <v>96</v>
      </c>
      <c r="B104" s="15" t="s">
        <v>43</v>
      </c>
      <c r="C104" s="15" t="s">
        <v>336</v>
      </c>
      <c r="D104" s="16">
        <v>2.0</v>
      </c>
      <c r="E104" s="17" t="s">
        <v>364</v>
      </c>
      <c r="F104" s="18" t="s">
        <v>365</v>
      </c>
      <c r="G104" s="95" t="s">
        <v>366</v>
      </c>
      <c r="H104" s="29" t="s">
        <v>42</v>
      </c>
      <c r="I104" s="30" t="s">
        <v>32</v>
      </c>
      <c r="J104" s="31" t="s">
        <v>367</v>
      </c>
      <c r="K104" s="92"/>
      <c r="L104" s="92"/>
      <c r="M104" s="92"/>
      <c r="N104" s="92"/>
      <c r="O104" s="92"/>
      <c r="P104" s="92"/>
      <c r="Q104" s="92"/>
      <c r="R104" s="92"/>
      <c r="S104" s="92"/>
      <c r="T104" s="92"/>
      <c r="U104" s="92"/>
      <c r="V104" s="92"/>
      <c r="W104" s="92"/>
      <c r="X104" s="92"/>
      <c r="Y104" s="92"/>
      <c r="Z104" s="92"/>
      <c r="AA104" s="92"/>
      <c r="AB104" s="92"/>
      <c r="AC104" s="92"/>
      <c r="AD104" s="92"/>
      <c r="AE104" s="92"/>
      <c r="AF104" s="92"/>
    </row>
    <row r="105">
      <c r="A105" s="13">
        <f t="shared" si="24"/>
        <v>97</v>
      </c>
      <c r="B105" s="34" t="s">
        <v>38</v>
      </c>
      <c r="C105" s="34" t="s">
        <v>336</v>
      </c>
      <c r="D105" s="63">
        <v>1.0</v>
      </c>
      <c r="E105" s="36" t="s">
        <v>368</v>
      </c>
      <c r="F105" s="37" t="s">
        <v>369</v>
      </c>
      <c r="G105" s="89" t="s">
        <v>370</v>
      </c>
      <c r="H105" s="20" t="s">
        <v>42</v>
      </c>
      <c r="I105" s="42"/>
      <c r="J105" s="22" t="s">
        <v>371</v>
      </c>
      <c r="K105" s="92"/>
      <c r="L105" s="92"/>
      <c r="M105" s="92"/>
      <c r="N105" s="92"/>
      <c r="O105" s="92"/>
      <c r="P105" s="92"/>
      <c r="Q105" s="92"/>
      <c r="R105" s="92"/>
      <c r="S105" s="92"/>
      <c r="T105" s="92"/>
      <c r="U105" s="92"/>
      <c r="V105" s="92"/>
      <c r="W105" s="92"/>
      <c r="X105" s="92"/>
      <c r="Y105" s="92"/>
      <c r="Z105" s="92"/>
      <c r="AA105" s="92"/>
      <c r="AB105" s="92"/>
      <c r="AC105" s="92"/>
      <c r="AD105" s="92"/>
      <c r="AE105" s="92"/>
      <c r="AF105" s="92"/>
    </row>
    <row r="106">
      <c r="A106" s="23">
        <f t="shared" si="24"/>
        <v>98</v>
      </c>
      <c r="B106" s="46" t="s">
        <v>43</v>
      </c>
      <c r="C106" s="46" t="s">
        <v>336</v>
      </c>
      <c r="D106" s="62">
        <v>1.0</v>
      </c>
      <c r="E106" s="48" t="s">
        <v>372</v>
      </c>
      <c r="F106" s="49" t="s">
        <v>373</v>
      </c>
      <c r="G106" s="96" t="s">
        <v>374</v>
      </c>
      <c r="H106" s="29" t="s">
        <v>42</v>
      </c>
      <c r="I106" s="39"/>
      <c r="J106" s="31" t="s">
        <v>375</v>
      </c>
      <c r="K106" s="92"/>
      <c r="L106" s="92"/>
      <c r="M106" s="92"/>
      <c r="N106" s="92"/>
      <c r="O106" s="92"/>
      <c r="P106" s="92"/>
      <c r="Q106" s="92"/>
      <c r="R106" s="92"/>
      <c r="S106" s="92"/>
      <c r="T106" s="92"/>
      <c r="U106" s="92"/>
      <c r="V106" s="92"/>
      <c r="W106" s="92"/>
      <c r="X106" s="92"/>
      <c r="Y106" s="92"/>
      <c r="Z106" s="92"/>
      <c r="AA106" s="92"/>
      <c r="AB106" s="92"/>
      <c r="AC106" s="92"/>
      <c r="AD106" s="92"/>
      <c r="AE106" s="92"/>
      <c r="AF106" s="92"/>
    </row>
    <row r="107">
      <c r="A107" s="54">
        <f t="shared" si="24"/>
        <v>99</v>
      </c>
      <c r="B107" s="24" t="s">
        <v>43</v>
      </c>
      <c r="C107" s="24" t="s">
        <v>336</v>
      </c>
      <c r="D107" s="65">
        <v>1.0</v>
      </c>
      <c r="E107" s="26" t="s">
        <v>376</v>
      </c>
      <c r="F107" s="27" t="s">
        <v>377</v>
      </c>
      <c r="G107" s="97" t="s">
        <v>378</v>
      </c>
      <c r="H107" s="20" t="s">
        <v>158</v>
      </c>
      <c r="I107" s="42"/>
      <c r="J107" s="22" t="s">
        <v>335</v>
      </c>
      <c r="K107" s="92"/>
      <c r="L107" s="92"/>
      <c r="M107" s="92"/>
      <c r="N107" s="92"/>
      <c r="O107" s="92"/>
      <c r="P107" s="92"/>
      <c r="Q107" s="92"/>
      <c r="R107" s="92"/>
      <c r="S107" s="92"/>
      <c r="T107" s="92"/>
      <c r="U107" s="92"/>
      <c r="V107" s="92"/>
      <c r="W107" s="92"/>
      <c r="X107" s="92"/>
      <c r="Y107" s="92"/>
      <c r="Z107" s="92"/>
      <c r="AA107" s="92"/>
      <c r="AB107" s="92"/>
      <c r="AC107" s="92"/>
      <c r="AD107" s="92"/>
      <c r="AE107" s="92"/>
      <c r="AF107" s="92"/>
    </row>
    <row r="108">
      <c r="A108" s="98">
        <f t="shared" si="24"/>
        <v>100</v>
      </c>
      <c r="B108" s="46" t="s">
        <v>98</v>
      </c>
      <c r="C108" s="46" t="s">
        <v>336</v>
      </c>
      <c r="D108" s="71">
        <v>0.0</v>
      </c>
      <c r="E108" s="48" t="s">
        <v>379</v>
      </c>
      <c r="F108" s="49" t="s">
        <v>380</v>
      </c>
      <c r="G108" s="85" t="s">
        <v>381</v>
      </c>
      <c r="H108" s="99" t="s">
        <v>42</v>
      </c>
      <c r="I108" s="100"/>
      <c r="J108" s="101" t="s">
        <v>382</v>
      </c>
      <c r="K108" s="92"/>
      <c r="L108" s="92"/>
      <c r="M108" s="92"/>
      <c r="N108" s="92"/>
      <c r="O108" s="92"/>
      <c r="P108" s="92"/>
      <c r="Q108" s="92"/>
      <c r="R108" s="92"/>
      <c r="S108" s="92"/>
      <c r="T108" s="92"/>
      <c r="U108" s="92"/>
      <c r="V108" s="92"/>
      <c r="W108" s="92"/>
      <c r="X108" s="92"/>
      <c r="Y108" s="92"/>
      <c r="Z108" s="92"/>
      <c r="AA108" s="92"/>
      <c r="AB108" s="92"/>
      <c r="AC108" s="92"/>
      <c r="AD108" s="92"/>
      <c r="AE108" s="92"/>
      <c r="AF108" s="92"/>
    </row>
    <row r="109">
      <c r="I109" s="4"/>
      <c r="J109" s="4"/>
    </row>
    <row r="110">
      <c r="I110" s="4"/>
      <c r="J110" s="4"/>
    </row>
    <row r="111">
      <c r="I111" s="4"/>
      <c r="J111" s="4"/>
    </row>
    <row r="112">
      <c r="I112" s="4"/>
      <c r="J112" s="4"/>
    </row>
    <row r="113">
      <c r="I113" s="4"/>
      <c r="J113" s="4"/>
    </row>
    <row r="114">
      <c r="I114" s="4"/>
      <c r="J114" s="4"/>
    </row>
    <row r="115">
      <c r="I115" s="4"/>
      <c r="J115" s="4"/>
    </row>
    <row r="116">
      <c r="I116" s="4"/>
      <c r="J116" s="4"/>
    </row>
    <row r="117">
      <c r="I117" s="4"/>
      <c r="J117" s="4"/>
    </row>
    <row r="118">
      <c r="I118" s="4"/>
      <c r="J118" s="4"/>
    </row>
    <row r="119">
      <c r="I119" s="4"/>
      <c r="J119" s="4"/>
    </row>
    <row r="120">
      <c r="I120" s="4"/>
      <c r="J120" s="4"/>
    </row>
    <row r="121">
      <c r="I121" s="4"/>
      <c r="J121" s="4"/>
    </row>
    <row r="122">
      <c r="I122" s="4"/>
      <c r="J122" s="4"/>
    </row>
    <row r="123">
      <c r="I123" s="4"/>
      <c r="J123" s="4"/>
    </row>
    <row r="124">
      <c r="I124" s="4"/>
      <c r="J124" s="4"/>
    </row>
    <row r="125">
      <c r="I125" s="4"/>
      <c r="J125" s="4"/>
    </row>
    <row r="126">
      <c r="I126" s="4"/>
      <c r="J126" s="4"/>
    </row>
    <row r="127">
      <c r="I127" s="4"/>
      <c r="J127" s="4"/>
    </row>
  </sheetData>
  <customSheetViews>
    <customSheetView guid="{BFE2D799-A5D2-456E-8409-C4919D03FA92}" filter="1" showAutoFilter="1">
      <autoFilter ref="$A$10:$J$108"/>
    </customSheetView>
    <customSheetView guid="{032E2D9C-9D72-4881-8BAA-D498B547E404}" filter="1" showAutoFilter="1">
      <autoFilter ref="$A$10:$J$108"/>
    </customSheetView>
  </customSheetViews>
  <mergeCells count="2">
    <mergeCell ref="B1:E1"/>
    <mergeCell ref="D3:E3"/>
  </mergeCells>
  <dataValidations>
    <dataValidation type="list" allowBlank="1" sqref="B11:B108">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108">
      <formula1>"0,1,2,3,4"</formula1>
    </dataValidation>
    <dataValidation type="list" allowBlank="1" sqref="H11:H108">
      <formula1>"A,B,C,D"</formula1>
    </dataValidation>
    <dataValidation type="list" allowBlank="1" sqref="C11:C108">
      <formula1>"1. Simple Task,2. Moderate Task,3. Complex Task,4. All Tasks,5. Extra Violations"</formula1>
    </dataValidation>
  </dataValidations>
  <printOptions gridLines="1" horizontalCentered="1"/>
  <pageMargins bottom="0.75" footer="0.0" header="0.0" left="0.7" right="0.7" top="0.75"/>
  <pageSetup fitToHeight="0" cellComments="atEnd" orientation="landscape" pageOrder="overThenDown"/>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102" t="s">
        <v>11</v>
      </c>
      <c r="B1" s="103" t="s">
        <v>383</v>
      </c>
      <c r="C1" s="103" t="s">
        <v>384</v>
      </c>
      <c r="D1" s="103" t="s">
        <v>385</v>
      </c>
      <c r="E1" s="103" t="s">
        <v>386</v>
      </c>
      <c r="F1" s="103" t="s">
        <v>387</v>
      </c>
      <c r="G1" s="104" t="s">
        <v>388</v>
      </c>
      <c r="I1" s="105"/>
      <c r="J1" s="105"/>
      <c r="K1" s="105"/>
      <c r="L1" s="105"/>
    </row>
    <row r="2">
      <c r="A2" s="106" t="s">
        <v>33</v>
      </c>
      <c r="B2" s="107">
        <f>COUNTIFS('Group Heuristic Evaluation'!B:B, "H1: Visibility of System Status", 'Group Heuristic Evaluation'!D:D, 0)</f>
        <v>0</v>
      </c>
      <c r="C2" s="107">
        <f>COUNTIFS('Group Heuristic Evaluation'!B:B, "H1: Visibility of System Status", 'Group Heuristic Evaluation'!D:D, 1)</f>
        <v>1</v>
      </c>
      <c r="D2" s="108">
        <f>COUNTIFS('Group Heuristic Evaluation'!B:B, "H1: Visibility of System Status", 'Group Heuristic Evaluation'!D:D, 2)</f>
        <v>2</v>
      </c>
      <c r="E2" s="108">
        <f>COUNTIFS('Group Heuristic Evaluation'!B:B, "H1: Visibility of System Status", 'Group Heuristic Evaluation'!D:D, 3)</f>
        <v>4</v>
      </c>
      <c r="F2" s="108">
        <f>COUNTIFS('Group Heuristic Evaluation'!B:B, "H1: Visibility of System Status", 'Group Heuristic Evaluation'!D:D, 4)</f>
        <v>2</v>
      </c>
      <c r="G2" s="109">
        <f t="shared" ref="G2:G5" si="1">SUM(B2:F2)</f>
        <v>9</v>
      </c>
      <c r="I2" s="105"/>
      <c r="J2" s="105"/>
      <c r="K2" s="105"/>
      <c r="L2" s="105"/>
    </row>
    <row r="3">
      <c r="A3" s="110" t="s">
        <v>98</v>
      </c>
      <c r="B3" s="107">
        <f>COUNTIFS('Group Heuristic Evaluation'!B:B, "H2: Match b/w System &amp; World", 'Group Heuristic Evaluation'!D:D, 0)</f>
        <v>1</v>
      </c>
      <c r="C3" s="108">
        <f>COUNTIFS('Group Heuristic Evaluation'!B:B, "H2: Match b/w System &amp; World", 'Group Heuristic Evaluation'!D:D, 1)</f>
        <v>1</v>
      </c>
      <c r="D3" s="108">
        <f>COUNTIFS('Group Heuristic Evaluation'!B:B, "H2: Match b/w System &amp; World", 'Group Heuristic Evaluation'!D:D, 2)</f>
        <v>1</v>
      </c>
      <c r="E3" s="108">
        <f>COUNTIFS('Group Heuristic Evaluation'!B:B, "H2: Match b/w System &amp; World", 'Group Heuristic Evaluation'!D:D, 3)</f>
        <v>1</v>
      </c>
      <c r="F3" s="108">
        <f>COUNTIFS('Group Heuristic Evaluation'!B:B, "H2: Match b/w System &amp; World", 'Group Heuristic Evaluation'!D:D, 4)</f>
        <v>0</v>
      </c>
      <c r="G3" s="111">
        <f t="shared" si="1"/>
        <v>4</v>
      </c>
      <c r="I3" s="105"/>
      <c r="J3" s="105"/>
      <c r="K3" s="105"/>
      <c r="L3" s="105"/>
    </row>
    <row r="4">
      <c r="A4" s="110" t="s">
        <v>136</v>
      </c>
      <c r="B4" s="107">
        <f>COUNTIFS('Group Heuristic Evaluation'!B:B, "H3: User Control &amp; Freedom", 'Group Heuristic Evaluation'!D:D, 0)</f>
        <v>0</v>
      </c>
      <c r="C4" s="108">
        <f>COUNTIFS('Group Heuristic Evaluation'!B:B, "H3: User Control &amp; Freedom", 'Group Heuristic Evaluation'!D:D, 1)</f>
        <v>1</v>
      </c>
      <c r="D4" s="108">
        <f>COUNTIFS('Group Heuristic Evaluation'!B:B, "H3: User Control &amp; Freedom", 'Group Heuristic Evaluation'!D:D, 2)</f>
        <v>2</v>
      </c>
      <c r="E4" s="108">
        <f>COUNTIFS('Group Heuristic Evaluation'!B:B, "H3: User Control &amp; Freedom", 'Group Heuristic Evaluation'!D:D, 3)</f>
        <v>3</v>
      </c>
      <c r="F4" s="108">
        <f>COUNTIFS('Group Heuristic Evaluation'!B:B, "H3: User Control &amp; Freedom", 'Group Heuristic Evaluation'!D:D, 4)</f>
        <v>1</v>
      </c>
      <c r="G4" s="111">
        <f t="shared" si="1"/>
        <v>7</v>
      </c>
      <c r="I4" s="105"/>
      <c r="J4" s="105"/>
      <c r="K4" s="105"/>
      <c r="L4" s="105"/>
    </row>
    <row r="5">
      <c r="A5" s="110" t="s">
        <v>38</v>
      </c>
      <c r="B5" s="107">
        <f>COUNTIFS('Group Heuristic Evaluation'!B:B, "H4: Consistency &amp; Standards", 'Group Heuristic Evaluation'!D:D, 0)</f>
        <v>2</v>
      </c>
      <c r="C5" s="108">
        <f>COUNTIFS('Group Heuristic Evaluation'!B:B, "H4: Consistency &amp; Standards", 'Group Heuristic Evaluation'!D:D, 1)</f>
        <v>7</v>
      </c>
      <c r="D5" s="108">
        <f>COUNTIFS('Group Heuristic Evaluation'!B:B, "H4: Consistency &amp; Standards", 'Group Heuristic Evaluation'!D:D, 2)</f>
        <v>7</v>
      </c>
      <c r="E5" s="108">
        <f>COUNTIFS('Group Heuristic Evaluation'!B:B, "H4: Consistency &amp; Standards", 'Group Heuristic Evaluation'!D:D, 3)</f>
        <v>2</v>
      </c>
      <c r="F5" s="108">
        <f>COUNTIFS('Group Heuristic Evaluation'!B:B, "H4: Consistency &amp; Standards", 'Group Heuristic Evaluation'!D:D, 4)</f>
        <v>2</v>
      </c>
      <c r="G5" s="111">
        <f t="shared" si="1"/>
        <v>20</v>
      </c>
      <c r="I5" s="105"/>
      <c r="J5" s="105"/>
      <c r="K5" s="105"/>
      <c r="L5" s="105"/>
    </row>
    <row r="6">
      <c r="A6" s="110" t="s">
        <v>119</v>
      </c>
      <c r="B6" s="107">
        <f>COUNTIFS('Group Heuristic Evaluation'!B:B, "H5: Error Prevention", 'Group Heuristic Evaluation'!D:D, 0)</f>
        <v>0</v>
      </c>
      <c r="C6" s="108">
        <f>COUNTIFS('Group Heuristic Evaluation'!B:B, "H5: Error Prevention", 'Group Heuristic Evaluation'!D:D, 1)</f>
        <v>0</v>
      </c>
      <c r="D6" s="108">
        <f>COUNTIFS('Group Heuristic Evaluation'!B:B, "H5: Error Prevention", 'Group Heuristic Evaluation'!D:D, 2)</f>
        <v>1</v>
      </c>
      <c r="E6" s="108">
        <f>COUNTIFS('Group Heuristic Evaluation'!B:B, "H5: Error Prevention", 'Group Heuristic Evaluation'!D:D, 3)</f>
        <v>3</v>
      </c>
      <c r="F6" s="108">
        <f>COUNTIFS('Group Heuristic Evaluation'!B:B, "H5: Error Prevention", 'Group Heuristic Evaluation'!D:D, 4)</f>
        <v>0</v>
      </c>
      <c r="G6" s="111">
        <f>SUM(C6:F6)</f>
        <v>4</v>
      </c>
      <c r="I6" s="105"/>
      <c r="J6" s="105"/>
      <c r="K6" s="105"/>
      <c r="L6" s="105"/>
    </row>
    <row r="7">
      <c r="A7" s="110" t="s">
        <v>47</v>
      </c>
      <c r="B7" s="107">
        <f>COUNTIFS('Group Heuristic Evaluation'!B:B, "H6: Recognition not Recall", 'Group Heuristic Evaluation'!D:D, 0)</f>
        <v>0</v>
      </c>
      <c r="C7" s="108">
        <f>COUNTIFS('Group Heuristic Evaluation'!B:B, "H6: Recognition not Recall", 'Group Heuristic Evaluation'!D:D, 1)</f>
        <v>1</v>
      </c>
      <c r="D7" s="108">
        <f>COUNTIFS('Group Heuristic Evaluation'!B:B, "H6: Recognition not Recall", 'Group Heuristic Evaluation'!D:D, 2)</f>
        <v>2</v>
      </c>
      <c r="E7" s="108">
        <f>COUNTIFS('Group Heuristic Evaluation'!B:B, "H6: Recognition not Recall", 'Group Heuristic Evaluation'!D:D, 3)</f>
        <v>9</v>
      </c>
      <c r="F7" s="108">
        <f>COUNTIFS('Group Heuristic Evaluation'!B:B, "H6: Recognition not Recall", 'Group Heuristic Evaluation'!D:D, 4)</f>
        <v>0</v>
      </c>
      <c r="G7" s="111">
        <f t="shared" ref="G7:G13" si="2">SUM(B7:F7)</f>
        <v>12</v>
      </c>
      <c r="I7" s="105"/>
      <c r="J7" s="105"/>
      <c r="K7" s="105"/>
      <c r="L7" s="105"/>
    </row>
    <row r="8">
      <c r="A8" s="110" t="s">
        <v>27</v>
      </c>
      <c r="B8" s="107">
        <f>COUNTIFS('Group Heuristic Evaluation'!B:B, "H7: Flexibility &amp; Efficiency of Use", 'Group Heuristic Evaluation'!D:D, 0)</f>
        <v>0</v>
      </c>
      <c r="C8" s="108">
        <f>COUNTIFS('Group Heuristic Evaluation'!B:B, "H7: Flexibility &amp; Efficiency of Use", 'Group Heuristic Evaluation'!D:D, 1)</f>
        <v>2</v>
      </c>
      <c r="D8" s="108">
        <f>COUNTIFS('Group Heuristic Evaluation'!B:B, "H7: Flexibility &amp; Efficiency of Use", 'Group Heuristic Evaluation'!D:D, 2)</f>
        <v>1</v>
      </c>
      <c r="E8" s="108">
        <f>COUNTIFS('Group Heuristic Evaluation'!B:B, "H7: Flexibility &amp; Efficiency of Use", 'Group Heuristic Evaluation'!D:D, 3)</f>
        <v>1</v>
      </c>
      <c r="F8" s="108">
        <f>COUNTIFS('Group Heuristic Evaluation'!B:B, "H7: Flexibility &amp; Efficiency of Use", 'Group Heuristic Evaluation'!D:D, 4)</f>
        <v>1</v>
      </c>
      <c r="G8" s="111">
        <f t="shared" si="2"/>
        <v>5</v>
      </c>
      <c r="I8" s="105"/>
      <c r="J8" s="105"/>
      <c r="K8" s="105"/>
      <c r="L8" s="105"/>
    </row>
    <row r="9">
      <c r="A9" s="110" t="s">
        <v>43</v>
      </c>
      <c r="B9" s="107">
        <f>COUNTIFS('Group Heuristic Evaluation'!B:B, "H8: Aesthetic &amp; Minimalist Design", 'Group Heuristic Evaluation'!D:D, 0)</f>
        <v>0</v>
      </c>
      <c r="C9" s="112">
        <f>COUNTIFS('Group Heuristic Evaluation'!B:B, "H8: Aesthetic &amp; Minimalist Design", 'Group Heuristic Evaluation'!D:D, 1)</f>
        <v>9</v>
      </c>
      <c r="D9" s="112">
        <f>COUNTIFS('Group Heuristic Evaluation'!B:B, "H8: Aesthetic &amp; Minimalist Design", 'Group Heuristic Evaluation'!D:D, 2)</f>
        <v>7</v>
      </c>
      <c r="E9" s="112">
        <f>COUNTIFS('Group Heuristic Evaluation'!B:B, "H8: Aesthetic &amp; Minimalist Design", 'Group Heuristic Evaluation'!D:D, 3)</f>
        <v>1</v>
      </c>
      <c r="F9" s="112">
        <f>COUNTIFS('Group Heuristic Evaluation'!B:B, "H8: Aesthetic &amp; Minimalist Design", 'Group Heuristic Evaluation'!D:D, 4)</f>
        <v>0</v>
      </c>
      <c r="G9" s="111">
        <f t="shared" si="2"/>
        <v>17</v>
      </c>
      <c r="I9" s="105"/>
      <c r="J9" s="105"/>
      <c r="K9" s="105"/>
      <c r="L9" s="105"/>
    </row>
    <row r="10">
      <c r="A10" s="110" t="s">
        <v>56</v>
      </c>
      <c r="B10" s="107">
        <f>COUNTIFS('Group Heuristic Evaluation'!B:B, "H9: Help Users with Errors", 'Group Heuristic Evaluation'!D:D, 0)</f>
        <v>0</v>
      </c>
      <c r="C10" s="112">
        <f>COUNTIFS('Group Heuristic Evaluation'!B:B, "H9: Help Users with Errors", 'Group Heuristic Evaluation'!D:D, 1)</f>
        <v>1</v>
      </c>
      <c r="D10" s="112">
        <f>COUNTIFS('Group Heuristic Evaluation'!B:B, "H9: Help Users with Errors", 'Group Heuristic Evaluation'!D:D, 2)</f>
        <v>2</v>
      </c>
      <c r="E10" s="112">
        <f>COUNTIFS('Group Heuristic Evaluation'!B:B, "H9: Help Users with Errors", 'Group Heuristic Evaluation'!D:D, 3)</f>
        <v>0</v>
      </c>
      <c r="F10" s="112">
        <f>COUNTIFS('Group Heuristic Evaluation'!B:B, "H9: Help Users with Errors", 'Group Heuristic Evaluation'!D:D, 4)</f>
        <v>0</v>
      </c>
      <c r="G10" s="111">
        <f t="shared" si="2"/>
        <v>3</v>
      </c>
      <c r="I10" s="105"/>
      <c r="J10" s="105"/>
      <c r="K10" s="105"/>
      <c r="L10" s="105"/>
    </row>
    <row r="11">
      <c r="A11" s="110" t="s">
        <v>20</v>
      </c>
      <c r="B11" s="107">
        <f>COUNTIFS('Group Heuristic Evaluation'!B:B, "H10: Help &amp; Documentation", 'Group Heuristic Evaluation'!D:D, 0)</f>
        <v>1</v>
      </c>
      <c r="C11" s="112">
        <f>COUNTIFS('Group Heuristic Evaluation'!B:B, "H10: Help &amp; Documentation", 'Group Heuristic Evaluation'!D:D, 1)</f>
        <v>0</v>
      </c>
      <c r="D11" s="112">
        <f>COUNTIFS('Group Heuristic Evaluation'!B:B, "H10: Help &amp; Documentation", 'Group Heuristic Evaluation'!D:D, 2)</f>
        <v>2</v>
      </c>
      <c r="E11" s="112">
        <f>COUNTIFS('Group Heuristic Evaluation'!B:B, "H10: Help &amp; Documentation", 'Group Heuristic Evaluation'!D:D, 3)</f>
        <v>2</v>
      </c>
      <c r="F11" s="112">
        <f>COUNTIFS('Group Heuristic Evaluation'!B:B, "H10: Help &amp; Documentation", 'Group Heuristic Evaluation'!D:D, 4)</f>
        <v>2</v>
      </c>
      <c r="G11" s="111">
        <f t="shared" si="2"/>
        <v>7</v>
      </c>
      <c r="I11" s="105"/>
      <c r="J11" s="105"/>
      <c r="K11" s="105"/>
      <c r="L11" s="105"/>
    </row>
    <row r="12">
      <c r="A12" s="110" t="s">
        <v>186</v>
      </c>
      <c r="B12" s="107">
        <f>COUNTIFS('Group Heuristic Evaluation'!B:B, "H11: Accessible Design", 'Group Heuristic Evaluation'!D:D, 0)</f>
        <v>0</v>
      </c>
      <c r="C12" s="112">
        <f>COUNTIFS('Group Heuristic Evaluation'!B:B, "H11: Accessible Design", 'Group Heuristic Evaluation'!D:D, 1)</f>
        <v>1</v>
      </c>
      <c r="D12" s="112">
        <f>COUNTIFS('Group Heuristic Evaluation'!B:B, "H11: Accessible Design", 'Group Heuristic Evaluation'!D:D, 2)</f>
        <v>1</v>
      </c>
      <c r="E12" s="112">
        <f>COUNTIFS('Group Heuristic Evaluation'!B:B, "H11: Accessible Design", 'Group Heuristic Evaluation'!D:D, 3)</f>
        <v>1</v>
      </c>
      <c r="F12" s="112">
        <f>COUNTIFS('Group Heuristic Evaluation'!B:B, "H11: Accessible Design", 'Group Heuristic Evaluation'!D:D, 4)</f>
        <v>0</v>
      </c>
      <c r="G12" s="111">
        <f t="shared" si="2"/>
        <v>3</v>
      </c>
      <c r="I12" s="105"/>
      <c r="J12" s="105"/>
      <c r="K12" s="105"/>
      <c r="L12" s="105"/>
    </row>
    <row r="13">
      <c r="A13" s="110" t="s">
        <v>389</v>
      </c>
      <c r="B13" s="107">
        <f>COUNTIFS('Group Heuristic Evaluation'!B:B, "H12: Value Alignment &amp; Inclusion", 'Group Heuristic Evaluation'!D:D, 0)</f>
        <v>0</v>
      </c>
      <c r="C13" s="112">
        <f>COUNTIFS('Group Heuristic Evaluation'!B:B, "H12: Value Alignment &amp; Inclusion", 'Group Heuristic Evaluation'!D:D, 1)</f>
        <v>1</v>
      </c>
      <c r="D13" s="112">
        <f>COUNTIFS('Group Heuristic Evaluation'!B:B, "H12: Value Alignment &amp; Inclusion", 'Group Heuristic Evaluation'!D:D, 2)</f>
        <v>5</v>
      </c>
      <c r="E13" s="112">
        <f>COUNTIFS('Group Heuristic Evaluation'!B:B, "H12: Value Alignment &amp; Inclusion", 'Group Heuristic Evaluation'!D:D, 3)</f>
        <v>0</v>
      </c>
      <c r="F13" s="112">
        <f>COUNTIFS('Group Heuristic Evaluation'!B:B, "H12: Value Alignment &amp; Inclusion", 'Group Heuristic Evaluation'!D:D, 4)</f>
        <v>1</v>
      </c>
      <c r="G13" s="111">
        <f t="shared" si="2"/>
        <v>7</v>
      </c>
      <c r="I13" s="105"/>
      <c r="J13" s="105"/>
      <c r="K13" s="105"/>
      <c r="L13" s="105"/>
    </row>
    <row r="14">
      <c r="A14" s="113" t="s">
        <v>390</v>
      </c>
      <c r="B14" s="114">
        <f>SUM(B2:B13)</f>
        <v>4</v>
      </c>
      <c r="C14" s="114">
        <f t="shared" ref="C14:D14" si="3">SUM(C1:C13)</f>
        <v>25</v>
      </c>
      <c r="D14" s="114">
        <f t="shared" si="3"/>
        <v>33</v>
      </c>
      <c r="E14" s="114">
        <f t="shared" ref="E14:G14" si="4">SUM(E2:E13)</f>
        <v>27</v>
      </c>
      <c r="F14" s="114">
        <f t="shared" si="4"/>
        <v>9</v>
      </c>
      <c r="G14" s="115">
        <f t="shared" si="4"/>
        <v>98</v>
      </c>
      <c r="I14" s="105"/>
      <c r="J14" s="105"/>
      <c r="K14" s="105"/>
      <c r="L14" s="105"/>
    </row>
    <row r="16">
      <c r="A16" s="116"/>
      <c r="B16" s="116"/>
      <c r="C16" s="116"/>
      <c r="D16" s="116"/>
      <c r="E16" s="116"/>
      <c r="F16" s="116"/>
      <c r="G16" s="116"/>
    </row>
    <row r="17">
      <c r="A17" s="116"/>
      <c r="B17" s="116"/>
      <c r="C17" s="116"/>
      <c r="D17" s="116"/>
      <c r="E17" s="116"/>
      <c r="F17" s="116"/>
      <c r="G17" s="116"/>
    </row>
    <row r="18">
      <c r="A18" s="116"/>
      <c r="B18" s="116"/>
      <c r="C18" s="116"/>
      <c r="D18" s="116"/>
      <c r="E18" s="116"/>
      <c r="F18" s="116"/>
      <c r="G18" s="116"/>
    </row>
    <row r="19">
      <c r="A19" s="116"/>
      <c r="B19" s="116"/>
      <c r="C19" s="116"/>
      <c r="D19" s="116"/>
      <c r="E19" s="116"/>
      <c r="F19" s="116"/>
      <c r="G19" s="116"/>
    </row>
    <row r="20">
      <c r="A20" s="116"/>
      <c r="B20" s="116"/>
      <c r="C20" s="116"/>
      <c r="D20" s="116"/>
      <c r="E20" s="116"/>
      <c r="F20" s="116"/>
      <c r="G20" s="116"/>
    </row>
    <row r="21">
      <c r="A21" s="116"/>
      <c r="B21" s="116"/>
      <c r="C21" s="116"/>
      <c r="D21" s="116"/>
      <c r="E21" s="116"/>
      <c r="F21" s="116"/>
      <c r="G21" s="116"/>
    </row>
    <row r="22">
      <c r="A22" s="116"/>
      <c r="B22" s="116"/>
      <c r="C22" s="116"/>
      <c r="D22" s="116"/>
      <c r="E22" s="116"/>
      <c r="F22" s="116"/>
      <c r="G22" s="116"/>
    </row>
    <row r="23">
      <c r="A23" s="116"/>
      <c r="B23" s="116"/>
      <c r="C23" s="116"/>
      <c r="D23" s="116"/>
      <c r="E23" s="116"/>
      <c r="F23" s="116"/>
      <c r="G23" s="116"/>
    </row>
    <row r="24">
      <c r="A24" s="116"/>
      <c r="B24" s="116"/>
      <c r="C24" s="116"/>
      <c r="D24" s="116"/>
      <c r="E24" s="116"/>
      <c r="F24" s="116"/>
      <c r="G24" s="116"/>
    </row>
    <row r="25">
      <c r="A25" s="116"/>
      <c r="B25" s="116"/>
      <c r="C25" s="116"/>
      <c r="D25" s="116"/>
      <c r="E25" s="116"/>
      <c r="F25" s="116"/>
      <c r="G25" s="116"/>
    </row>
    <row r="26">
      <c r="A26" s="116"/>
      <c r="B26" s="116"/>
      <c r="C26" s="116"/>
      <c r="D26" s="116"/>
      <c r="E26" s="116"/>
      <c r="F26" s="116"/>
      <c r="G26" s="116"/>
    </row>
    <row r="27">
      <c r="A27" s="116"/>
      <c r="B27" s="116"/>
      <c r="C27" s="116"/>
      <c r="D27" s="116"/>
      <c r="E27" s="116"/>
      <c r="F27" s="116"/>
      <c r="G27" s="116"/>
    </row>
    <row r="28">
      <c r="A28" s="116"/>
      <c r="B28" s="116"/>
      <c r="C28" s="116"/>
      <c r="D28" s="116"/>
      <c r="E28" s="116"/>
      <c r="F28" s="116"/>
      <c r="G28" s="116"/>
    </row>
    <row r="29">
      <c r="A29" s="116"/>
      <c r="B29" s="116"/>
      <c r="C29" s="116"/>
      <c r="D29" s="116"/>
      <c r="E29" s="116"/>
      <c r="F29" s="116"/>
      <c r="G29" s="116"/>
    </row>
    <row r="32">
      <c r="A32" s="117"/>
      <c r="B32" s="117"/>
      <c r="C32" s="117"/>
      <c r="D32" s="117"/>
      <c r="E32" s="117"/>
      <c r="F32" s="117"/>
      <c r="G32" s="117"/>
    </row>
    <row r="33">
      <c r="A33" s="117"/>
      <c r="B33" s="117"/>
      <c r="C33" s="117"/>
      <c r="D33" s="117"/>
      <c r="E33" s="117"/>
      <c r="F33" s="117"/>
      <c r="G33" s="117"/>
    </row>
    <row r="34">
      <c r="A34" s="117"/>
      <c r="B34" s="117"/>
      <c r="C34" s="117"/>
      <c r="D34" s="117"/>
      <c r="E34" s="117"/>
      <c r="F34" s="117"/>
      <c r="G34" s="117"/>
    </row>
    <row r="35">
      <c r="A35" s="117"/>
      <c r="B35" s="117"/>
      <c r="C35" s="117"/>
      <c r="D35" s="117"/>
      <c r="E35" s="117"/>
      <c r="F35" s="117"/>
      <c r="G35" s="117"/>
    </row>
    <row r="36">
      <c r="A36" s="117"/>
      <c r="B36" s="117"/>
      <c r="C36" s="117"/>
      <c r="D36" s="117"/>
      <c r="E36" s="117"/>
      <c r="F36" s="117"/>
      <c r="G36" s="117"/>
    </row>
    <row r="37">
      <c r="A37" s="117"/>
      <c r="B37" s="117"/>
      <c r="C37" s="117"/>
      <c r="D37" s="117"/>
      <c r="E37" s="117"/>
      <c r="F37" s="117"/>
      <c r="G37" s="117"/>
    </row>
    <row r="38">
      <c r="A38" s="117"/>
      <c r="B38" s="117"/>
      <c r="C38" s="117"/>
      <c r="D38" s="117"/>
      <c r="E38" s="117"/>
      <c r="F38" s="117"/>
      <c r="G38" s="117"/>
    </row>
    <row r="39">
      <c r="A39" s="117"/>
      <c r="B39" s="117"/>
      <c r="C39" s="117"/>
      <c r="D39" s="117"/>
      <c r="E39" s="117"/>
      <c r="F39" s="117"/>
      <c r="G39" s="117"/>
    </row>
    <row r="40">
      <c r="A40" s="117"/>
      <c r="B40" s="117"/>
      <c r="C40" s="117"/>
      <c r="D40" s="117"/>
      <c r="E40" s="117"/>
      <c r="F40" s="117"/>
      <c r="G40" s="117"/>
    </row>
    <row r="41">
      <c r="A41" s="117"/>
      <c r="B41" s="117"/>
      <c r="C41" s="117"/>
      <c r="D41" s="117"/>
      <c r="E41" s="117"/>
      <c r="F41" s="117"/>
      <c r="G41" s="117"/>
    </row>
    <row r="42">
      <c r="A42" s="117"/>
      <c r="B42" s="117"/>
      <c r="C42" s="117"/>
      <c r="D42" s="117"/>
      <c r="E42" s="117"/>
      <c r="F42" s="117"/>
      <c r="G42" s="117"/>
    </row>
    <row r="43">
      <c r="A43" s="117"/>
      <c r="B43" s="117"/>
      <c r="C43" s="117"/>
      <c r="D43" s="117"/>
      <c r="E43" s="117"/>
      <c r="F43" s="117"/>
      <c r="G43" s="117"/>
    </row>
    <row r="44">
      <c r="A44" s="117"/>
      <c r="B44" s="117"/>
      <c r="C44" s="117"/>
      <c r="D44" s="117"/>
      <c r="E44" s="117"/>
      <c r="F44" s="117"/>
      <c r="G44" s="117"/>
    </row>
    <row r="45">
      <c r="A45" s="117"/>
      <c r="B45" s="117"/>
      <c r="C45" s="117"/>
      <c r="D45" s="117"/>
      <c r="E45" s="117"/>
      <c r="F45" s="117"/>
      <c r="G45" s="117"/>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18" t="s">
        <v>391</v>
      </c>
    </row>
    <row r="2">
      <c r="A2" s="119" t="s">
        <v>13</v>
      </c>
      <c r="B2" s="119" t="s">
        <v>392</v>
      </c>
      <c r="C2" s="119" t="s">
        <v>393</v>
      </c>
      <c r="D2" s="119" t="s">
        <v>394</v>
      </c>
      <c r="E2" s="119" t="s">
        <v>395</v>
      </c>
    </row>
    <row r="3">
      <c r="A3" s="120">
        <v>0.0</v>
      </c>
      <c r="B3" s="121">
        <f>COUNTIFS('Group Heuristic Evaluation'!H11:H1001, "*A*",'Group Heuristic Evaluation'!D11:D1001, 0)/COUNTA('Group Heuristic Evaluation'!B:B)
</f>
        <v>0</v>
      </c>
      <c r="C3" s="121">
        <f>COUNTIFS('Group Heuristic Evaluation'!H:H, "*B*",'Group Heuristic Evaluation'!D:D, 0)/COUNTA('Group Heuristic Evaluation'!B:B)</f>
        <v>0</v>
      </c>
      <c r="D3" s="121">
        <f>COUNTIFS('Group Heuristic Evaluation'!H:H, "*C*",'Group Heuristic Evaluation'!D:D, 0)/COUNTA('Group Heuristic Evaluation'!B11:B1001)</f>
        <v>0.02040816327</v>
      </c>
      <c r="E3" s="121">
        <f>COUNTIFS('Group Heuristic Evaluation'!H:H, "*D*",'Group Heuristic Evaluation'!D:D, 0)/COUNTA('Group Heuristic Evaluation'!B11:B1001)</f>
        <v>0.02040816327</v>
      </c>
      <c r="F3" s="122">
        <f>COUNTIFS('Group Heuristic Evaluation'!D11:D1001, 0)/COUNTA('Group Heuristic Evaluation'!B:B)</f>
        <v>0.03883495146</v>
      </c>
    </row>
    <row r="4">
      <c r="A4" s="120">
        <v>1.0</v>
      </c>
      <c r="B4" s="121">
        <f>COUNTIFS('Group Heuristic Evaluation'!H:H, "*A*",'Group Heuristic Evaluation'!D:D, 1)/COUNTA('Group Heuristic Evaluation'!B11:B1001)
</f>
        <v>0.05102040816</v>
      </c>
      <c r="C4" s="121">
        <f>COUNTIFS('Group Heuristic Evaluation'!H:H, "*B*",'Group Heuristic Evaluation'!D:D, 1)/COUNTA('Group Heuristic Evaluation'!B11:B1001)</f>
        <v>0.08163265306</v>
      </c>
      <c r="D4" s="121">
        <f>COUNTIFS('Group Heuristic Evaluation'!H:H, "*C*",'Group Heuristic Evaluation'!D:D, 1)/COUNTA('Group Heuristic Evaluation'!B11:B1001)</f>
        <v>0.09183673469</v>
      </c>
      <c r="E4" s="121">
        <f>COUNTIFS('Group Heuristic Evaluation'!H:H, "*D*",'Group Heuristic Evaluation'!D:D, 1)/COUNTA('Group Heuristic Evaluation'!B11:B1001)</f>
        <v>0.07142857143</v>
      </c>
      <c r="F4" s="112">
        <f>COUNTIFS('Group Heuristic Evaluation'!D11:D1001, 1)/COUNTA('Group Heuristic Evaluation'!B:B)</f>
        <v>0.2427184466</v>
      </c>
    </row>
    <row r="5">
      <c r="A5" s="120">
        <v>2.0</v>
      </c>
      <c r="B5" s="121">
        <f>COUNTIFS('Group Heuristic Evaluation'!H:H, "*A*",'Group Heuristic Evaluation'!D:D, 2)/COUNTA('Group Heuristic Evaluation'!B11:B1001)
</f>
        <v>0.05102040816</v>
      </c>
      <c r="C5" s="121">
        <f>COUNTIFS('Group Heuristic Evaluation'!H:H, "*B*",'Group Heuristic Evaluation'!D:D, 2)/COUNTA('Group Heuristic Evaluation'!B11:B1001)</f>
        <v>0.1224489796</v>
      </c>
      <c r="D5" s="121">
        <f>COUNTIFS('Group Heuristic Evaluation'!H:H, "*C*",'Group Heuristic Evaluation'!D:D, 2)/COUNTA('Group Heuristic Evaluation'!B11:B1001)</f>
        <v>0.1836734694</v>
      </c>
      <c r="E5" s="121">
        <f>COUNTIFS('Group Heuristic Evaluation'!H:H, "*D*",'Group Heuristic Evaluation'!D:D, 2)/COUNTA('Group Heuristic Evaluation'!B11:B1001)</f>
        <v>0.09183673469</v>
      </c>
      <c r="F5" s="112">
        <f>COUNTIFS('Group Heuristic Evaluation'!D11:D1001, 2)/COUNTA('Group Heuristic Evaluation'!B:B)</f>
        <v>0.3203883495</v>
      </c>
    </row>
    <row r="6">
      <c r="A6" s="120">
        <v>3.0</v>
      </c>
      <c r="B6" s="121">
        <f>COUNTIFS('Group Heuristic Evaluation'!H:H, "*A*",'Group Heuristic Evaluation'!D:D, 3)/COUNTA('Group Heuristic Evaluation'!B11:B1001)
</f>
        <v>0.08163265306</v>
      </c>
      <c r="C6" s="121">
        <f>COUNTIFS('Group Heuristic Evaluation'!H:H, "*B*",'Group Heuristic Evaluation'!D:D, 3)/COUNTA('Group Heuristic Evaluation'!B11:B1001)</f>
        <v>0.1326530612</v>
      </c>
      <c r="D6" s="121">
        <f>COUNTIFS('Group Heuristic Evaluation'!H:H, "*C*",'Group Heuristic Evaluation'!D:D, 3)/COUNTA('Group Heuristic Evaluation'!B11:B1001)</f>
        <v>0.1020408163</v>
      </c>
      <c r="E6" s="121">
        <f>COUNTIFS('Group Heuristic Evaluation'!H:H, "*D*",'Group Heuristic Evaluation'!D:D, 3)/COUNTA('Group Heuristic Evaluation'!B11:B1001)</f>
        <v>0.07142857143</v>
      </c>
      <c r="F6" s="112">
        <f>COUNTIFS('Group Heuristic Evaluation'!D11:D1001, 3)/COUNTA('Group Heuristic Evaluation'!B:B)</f>
        <v>0.2621359223</v>
      </c>
    </row>
    <row r="7">
      <c r="A7" s="120">
        <v>4.0</v>
      </c>
      <c r="B7" s="121">
        <f>COUNTIFS('Group Heuristic Evaluation'!H:H, "*A*",'Group Heuristic Evaluation'!D:D, 4)/COUNTA('Group Heuristic Evaluation'!B:B)
</f>
        <v>0.03883495146</v>
      </c>
      <c r="C7" s="121">
        <f>COUNTIFS('Group Heuristic Evaluation'!H:H, "*B*",'Group Heuristic Evaluation'!D:D, 4)/COUNTA('Group Heuristic Evaluation'!B:B)</f>
        <v>0.02912621359</v>
      </c>
      <c r="D7" s="121">
        <f>COUNTIFS('Group Heuristic Evaluation'!H:H, "*C*",'Group Heuristic Evaluation'!D:D, 4)/COUNTA('Group Heuristic Evaluation'!B:B)</f>
        <v>0.05825242718</v>
      </c>
      <c r="E7" s="121">
        <f>COUNTIFS('Group Heuristic Evaluation'!H:H, "*D*",'Group Heuristic Evaluation'!D:D, 4)/COUNTA('Group Heuristic Evaluation'!B:B)</f>
        <v>0</v>
      </c>
      <c r="F7" s="112">
        <f>COUNTIFS('Group Heuristic Evaluation'!D11:D1001, 4)/COUNTA('Group Heuristic Evaluation'!B:B)</f>
        <v>0.08737864078</v>
      </c>
    </row>
    <row r="8">
      <c r="A8" s="105" t="s">
        <v>396</v>
      </c>
      <c r="B8" s="123">
        <f t="shared" ref="B8:E8" si="1">SUM(B6:B7)</f>
        <v>0.1204676045</v>
      </c>
      <c r="C8" s="123">
        <f t="shared" si="1"/>
        <v>0.1617792748</v>
      </c>
      <c r="D8" s="123">
        <f t="shared" si="1"/>
        <v>0.1602932435</v>
      </c>
      <c r="E8" s="123">
        <f t="shared" si="1"/>
        <v>0.07142857143</v>
      </c>
      <c r="F8" s="112"/>
    </row>
    <row r="9">
      <c r="A9" s="105" t="s">
        <v>397</v>
      </c>
      <c r="B9" s="123">
        <f t="shared" ref="B9:E9" si="2">SUM(B3:B7)</f>
        <v>0.2225084208</v>
      </c>
      <c r="C9" s="123">
        <f t="shared" si="2"/>
        <v>0.3658609075</v>
      </c>
      <c r="D9" s="123">
        <f t="shared" si="2"/>
        <v>0.4562116109</v>
      </c>
      <c r="E9" s="123">
        <f t="shared" si="2"/>
        <v>0.2551020408</v>
      </c>
    </row>
    <row r="11">
      <c r="B11" s="122">
        <f>COUNTIF(Group_Heuristic_Evaluations[Found by], "*A*")</f>
        <v>22</v>
      </c>
      <c r="C11" s="122">
        <f>COUNTIF(Group_Heuristic_Evaluations[Found by], "*B*")</f>
        <v>36</v>
      </c>
      <c r="D11" s="122">
        <f>COUNTIF(Group_Heuristic_Evaluations[Found by], "*C*")</f>
        <v>45</v>
      </c>
      <c r="E11" s="122">
        <f>COUNTIF(Group_Heuristic_Evaluations[Found by], "*D*")</f>
        <v>25</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8" max="8" width="80.88"/>
  </cols>
  <sheetData>
    <row r="1">
      <c r="A1" s="124" t="s">
        <v>398</v>
      </c>
      <c r="B1" s="125"/>
      <c r="C1" s="125"/>
      <c r="D1" s="125"/>
      <c r="E1" s="125"/>
      <c r="F1" s="125"/>
      <c r="G1" s="126"/>
    </row>
    <row r="2">
      <c r="A2" s="127" t="s">
        <v>399</v>
      </c>
    </row>
    <row r="5">
      <c r="H5" s="8"/>
    </row>
    <row r="7">
      <c r="H7" s="8"/>
    </row>
    <row r="19">
      <c r="H19" s="128"/>
    </row>
  </sheetData>
  <mergeCells count="2">
    <mergeCell ref="A1:G1"/>
    <mergeCell ref="A2:G27"/>
  </mergeCells>
  <drawing r:id="rId1"/>
</worksheet>
</file>