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Evaluation'!$A$11:$J$37</definedName>
    <definedName hidden="1" localSheetId="0" name="Z_CAAF1C99_34DC_478E_BA02_CDCB52AE432E_.wvu.FilterData">'Group Heuristic Evaluation'!$A$11:$J$37</definedName>
    <definedName hidden="1" localSheetId="0" name="Z_D5C3DD98_65B0_428D_9975_D5D1F49383BD_.wvu.FilterData">'Group Heuristic Evaluation'!$A$11:$J$37</definedName>
  </definedNames>
  <calcPr/>
  <customWorkbookViews>
    <customWorkbookView activeSheetId="0" maximized="1" windowHeight="0" windowWidth="0" guid="{D5C3DD98-65B0-428D-9975-D5D1F49383BD}" name="Group by Task "/>
    <customWorkbookView activeSheetId="0" maximized="1" windowHeight="0" windowWidth="0" guid="{CAAF1C99-34DC-478E-BA02-CDCB52AE432E}" name="Group by Task"/>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21">
      <text>
        <t xml:space="preserve">honestly not sure if we need to include this in our prototype?
	-Emily Liang</t>
      </text>
    </comment>
  </commentList>
</comments>
</file>

<file path=xl/sharedStrings.xml><?xml version="1.0" encoding="utf-8"?>
<sst xmlns="http://schemas.openxmlformats.org/spreadsheetml/2006/main" count="236" uniqueCount="175">
  <si>
    <t xml:space="preserve">Prototype Description: </t>
  </si>
  <si>
    <t>Revisit is a travel app that consolidates trip planning by allowing users to access peer-sourced and curated itineraries, personalize travel plans, and manage group trips seamlessly within a single platform.</t>
  </si>
  <si>
    <t xml:space="preserve">Your TA will remove your names before the document is given to the project team. Under the 'Found by' column, use these letters to identify yourselves </t>
  </si>
  <si>
    <t>Simple Task</t>
  </si>
  <si>
    <t>Users can search for itineraries specific to their destination and view them online.</t>
  </si>
  <si>
    <t>Evaluator A:</t>
  </si>
  <si>
    <t>Moderate Task</t>
  </si>
  <si>
    <t>Users can save itineraries to their devices and share them with others in their travel group.</t>
  </si>
  <si>
    <t>Evaluator B:</t>
  </si>
  <si>
    <t>Complex Task</t>
  </si>
  <si>
    <t>Users can customize specific activities within an itinerary and create a collaborative itinerary accessible to all group members.</t>
  </si>
  <si>
    <t>Evaluator C:</t>
  </si>
  <si>
    <t>Evaluator D:</t>
  </si>
  <si>
    <t>scrap the Day 1 Day 2 --&gt; one page with all events from itineraries, everyone chooses, we generate a sample itinerary, group edits this itinerary afterwards</t>
  </si>
  <si>
    <t>*attach images here if helpful</t>
  </si>
  <si>
    <t>Effort</t>
  </si>
  <si>
    <t>Fix</t>
  </si>
  <si>
    <t>Problem #</t>
  </si>
  <si>
    <t xml:space="preserve">Heuristic </t>
  </si>
  <si>
    <t>Task</t>
  </si>
  <si>
    <t>Severity</t>
  </si>
  <si>
    <t>Description</t>
  </si>
  <si>
    <t>Rationale</t>
  </si>
  <si>
    <t>Found by</t>
  </si>
  <si>
    <t>Add share icon on itinerary</t>
  </si>
  <si>
    <t>H7: Flexibility &amp; Efficiency of Use</t>
  </si>
  <si>
    <t>4. All Tasks</t>
  </si>
  <si>
    <t>After starring an itinerary in the search results for simple task, users cannot edit, save, or share it directly; they have to navigate back to a different screen to start over</t>
  </si>
  <si>
    <t>Users may want to edit, save, or share an itinerary immediately after starring it, but having to navigate to another screen interrupts the flow and adds extra steps</t>
  </si>
  <si>
    <t>Allow users to edit, save, or share an itinerary directly from the search results</t>
  </si>
  <si>
    <t>B, A, C</t>
  </si>
  <si>
    <t>use red instead of dark grey</t>
  </si>
  <si>
    <t>H1: Visibility of System Status</t>
  </si>
  <si>
    <t>1. Simple Task</t>
  </si>
  <si>
    <t>Poor visual indicator to show when filters are being applied to search results</t>
  </si>
  <si>
    <t>Users may be confused if filters are applied to their search results</t>
  </si>
  <si>
    <t>Color the background of the filters when enabled (e.g. orange)</t>
  </si>
  <si>
    <t>B, A, D</t>
  </si>
  <si>
    <t>change filters to be more broad/general for a non-expert tourist. BE COMPREHENSIVE OF FILTERS</t>
  </si>
  <si>
    <t>H2: Match b/w System &amp; World</t>
  </si>
  <si>
    <t>The filters under the search bar use location-specific terminology, such as "chinatown" or "pier 3."</t>
  </si>
  <si>
    <t>While these do match the real-world, these aren't concepts familiar to the user, as a good chunk of users will be planning itineraries to locations they've never been before and therefore not know these specific filter meanings. For example, if you've never been to San Francisco and are planning a trip, the "pier 3" filter is confusing.</t>
  </si>
  <si>
    <t>Provide filters that match the real-world but still are familiar to the user regardless of thier knowledge of the city. For example, instead of "pier 3" putting "waterfront experiences", giving the user the ability to filter without them needing to know the city.</t>
  </si>
  <si>
    <t>B, C</t>
  </si>
  <si>
    <t>ex. itinerary for the middle of nowhere --&gt; add "no results found"</t>
  </si>
  <si>
    <t>H9: Help Users with Errors</t>
  </si>
  <si>
    <t>Missing feedback when users input invalid search terms</t>
  </si>
  <si>
    <t>Users may not know how to modify their search to get results, leading to frustration and abandonment of the search feature</t>
  </si>
  <si>
    <t>Add a notifaction like "No results found. Try broader keywords"</t>
  </si>
  <si>
    <t>B, C, A</t>
  </si>
  <si>
    <t>make the star count clickable</t>
  </si>
  <si>
    <t>H3: User Control &amp; Freedom</t>
  </si>
  <si>
    <t>5. Extra Violations</t>
  </si>
  <si>
    <t>No ability to undo adding an itinerary to favorites in the "starred" page</t>
  </si>
  <si>
    <t>Users may accidentally add an itinerary to favorites, and the inability to undo or delete itineraries from favorites clutters the favorite list</t>
  </si>
  <si>
    <t>Add a "X" or "Delete" button for each saved itinerary</t>
  </si>
  <si>
    <t>B</t>
  </si>
  <si>
    <t>change to itineraries</t>
  </si>
  <si>
    <t>"Posts" is introduced for the first time here and is a term that is normally associated with social media</t>
  </si>
  <si>
    <t>Users may associate the app as a social media, be confused what the social features in the app are, or what "posts" means</t>
  </si>
  <si>
    <t>Change the wording to resemble what the page displays</t>
  </si>
  <si>
    <t>B, A</t>
  </si>
  <si>
    <t>starred</t>
  </si>
  <si>
    <t>H4: Consistency &amp; Standards</t>
  </si>
  <si>
    <t>2. Moderate Task</t>
  </si>
  <si>
    <t>Saved tab actually means Likes, resulting in unclear definition of the star icon</t>
  </si>
  <si>
    <t>This inconstinency may confuse users what the meaning of the star is, because when planning a trip, we pick from the 'liked' collection of itineraries for a specific day, when in reality, the system refers to the Likes</t>
  </si>
  <si>
    <t>Change "Saved" to "Liked"</t>
  </si>
  <si>
    <t>C</t>
  </si>
  <si>
    <t xml:space="preserve">sort itineraries by amount of stars </t>
  </si>
  <si>
    <t>The feed is randomly sorted.</t>
  </si>
  <si>
    <t>Users are left sifting through a plethora of itineraries without any indication of priority, decreasing efficiency.</t>
  </si>
  <si>
    <t>Sorting by the amount of stars an itinerary received would let expert users know that the uppermost itineraries are the most popular, giving them a speed boost in searching for plans.</t>
  </si>
  <si>
    <t>add reviews section under activity/day itinerary</t>
  </si>
  <si>
    <t>H12: Value Alignment &amp; Inclusion</t>
  </si>
  <si>
    <t>Community is limited to user-generated trips</t>
  </si>
  <si>
    <t>The value proposition stated adding community to trip planning, but there deosn't seem to be a way to interact with other users other than the number of saves on a post (e.g. include user reviews), reducing the sense of community engagement</t>
  </si>
  <si>
    <t>Consider including the ability to give ratings or reviews, nested within the "reviews" section alongside the author's review</t>
  </si>
  <si>
    <t>drag and drop days</t>
  </si>
  <si>
    <t>3. Complex Task</t>
  </si>
  <si>
    <t>When customizing itinerary, users cannot easily reorder days, seems like they would need to rewrite content to switch day order</t>
  </si>
  <si>
    <t>Switching between days for itinerary planning requires extra effort, as users cannot simply move or reorder days without rewriting, reducing flexibility and ease of organization</t>
  </si>
  <si>
    <t>Enable some way to easily rearrange days in the planning section (e.g. drag-and-drop functionality or pressable arrows)</t>
  </si>
  <si>
    <t>replace X with microphone in feed page</t>
  </si>
  <si>
    <t>H11: Accessible Design</t>
  </si>
  <si>
    <t>Does not support voice inputs, making it challenging for visually or motor impaired people</t>
  </si>
  <si>
    <t>Users with limited mobility or visual abilities may struggle to search for a location</t>
  </si>
  <si>
    <t>Add the "microphone" option for voice inputs</t>
  </si>
  <si>
    <t>solo, group filter</t>
  </si>
  <si>
    <t>Filters do not include different modes of travel (e.g. solo, group travel), which limits the design value of personalization</t>
  </si>
  <si>
    <t>Users may want to travel alone but the recommended trips are for group activities, or vice versa</t>
  </si>
  <si>
    <t>Include a travel mode filter option</t>
  </si>
  <si>
    <t>Change header to location of itinerary</t>
  </si>
  <si>
    <t>H6: Recognition not Recall</t>
  </si>
  <si>
    <t>The header displays "you're all set"  instead of the itinerary location, requiring users to remember the specific itinerary location they selected</t>
  </si>
  <si>
    <t>Users may forget or confuse locations without their names being displayed, adding to cognitive load and potential mistakes</t>
  </si>
  <si>
    <t xml:space="preserve">Change the text to the location of the itinerary </t>
  </si>
  <si>
    <t>change to all cities</t>
  </si>
  <si>
    <t>The app uses inconsistent geographic scales for locations (e.g., "San Francisco" as a city vs. "France" as a country).</t>
  </si>
  <si>
    <t>Users may be confused as they may expect a consistent level of detail in location selection (either all cities or all countries)</t>
  </si>
  <si>
    <t>Standardize the location scale by using either all cities, all countries, or grouping them clearly (e.g., separating countries and cities within location filters)</t>
  </si>
  <si>
    <t>change border width</t>
  </si>
  <si>
    <t>H8: Aesthetic &amp; Minimalist Design</t>
  </si>
  <si>
    <t xml:space="preserve">The red barrier around a location reviews is very thick. </t>
  </si>
  <si>
    <t>It has too thick a border, and does not match the aesthetic of the rest of the interface.</t>
  </si>
  <si>
    <t>The border should be thinner and aligned with the rest of the app's aesthetic.</t>
  </si>
  <si>
    <t>D, A</t>
  </si>
  <si>
    <t>add suggestions of close distance to events you keep</t>
  </si>
  <si>
    <t xml:space="preserve">The suggestison edits to an individual location switch are too bland </t>
  </si>
  <si>
    <t xml:space="preserve">The users may be confused as to what the suggestsions are, especially if they are traveling to a new city. </t>
  </si>
  <si>
    <t>Showcase how far or close away the suggested locations are and allow the user to pick out the suggestion they would like use as a replacement.</t>
  </si>
  <si>
    <t>A</t>
  </si>
  <si>
    <t>keep all letters lower cased</t>
  </si>
  <si>
    <t>Text is somewhat arbitrarily capitalized. Sometimes text is left all-lowercase to match the general app's theme and play into their value of "aesthetics", but sometimes non proper-nouns like "Day 1" are capitalized.</t>
  </si>
  <si>
    <t>This detracts from the thematic consistency of the app and the target value of "aesthetics" when the text seems to not have a consistent style.</t>
  </si>
  <si>
    <t>Choose a consistent text styling, such as only capitalizing proper nouns, to ensure cohesion across the UI.</t>
  </si>
  <si>
    <t>C, D</t>
  </si>
  <si>
    <t>make share icon opposite of download</t>
  </si>
  <si>
    <t>The share icon being used is the one with three dots, resembling a network.</t>
  </si>
  <si>
    <t>This icon for sharing is not common for users in the target demographic, resulting in some users likely being confused with this unfamiliar concept.</t>
  </si>
  <si>
    <t>Providing a more familiar icon that mimics the action the user is taking, such as a box with an arrow to mimic the information "leaving" the phone.</t>
  </si>
  <si>
    <t>add sentence to readme about how to share itinerary</t>
  </si>
  <si>
    <t>H10: Help &amp; Documentation</t>
  </si>
  <si>
    <t>There is no description of how to share the itinerary included in the README.</t>
  </si>
  <si>
    <t>Users who don't already know the symbol that indicates sharing wouldn't be able to find the share feature from the documentation.</t>
  </si>
  <si>
    <t>Add a clarifying sentence to the README on how to share.</t>
  </si>
  <si>
    <t>remove dot</t>
  </si>
  <si>
    <t>On the itinerary details page before sharing or saving, each day is labeled with a red dot.</t>
  </si>
  <si>
    <t>These dots don't appear to have any meaning, nor do they seem particularly aestheitc. There doesn't seem to be a connection between this visual cue and revisit's core values of aesthetics and usability.</t>
  </si>
  <si>
    <t>Remove the dot! Or provide a different visual item in that space that has meaning regarding that day's events.</t>
  </si>
  <si>
    <t>C, A</t>
  </si>
  <si>
    <t>remove first screen, in search screen have general selection of all places, and once input is added, be specific</t>
  </si>
  <si>
    <t>Excessive whitespace in the first screen makes one ponder if the screen is needed</t>
  </si>
  <si>
    <t>Users may overlook certain elements, such as filters</t>
  </si>
  <si>
    <t>Consider moving the filter options to the first screen or removing the first screen and start on the second screen</t>
  </si>
  <si>
    <t>add confirmation feedback to shared with others (same as saved)</t>
  </si>
  <si>
    <t>Lack of confirmation feedback when users share an itinerary with others</t>
  </si>
  <si>
    <t>Users may not know the itinerary has been shared and will be required to check the separate social media app</t>
  </si>
  <si>
    <t>Add a confirmation notification (like the one for saving feature — great job on that!)</t>
  </si>
  <si>
    <t>minimize maximize; have minimize page be empty</t>
  </si>
  <si>
    <t xml:space="preserve">"Wall of text" when accessing day-by-day itinerary </t>
  </si>
  <si>
    <t>Less text should be included in order to make the itinerary readable within the app.</t>
  </si>
  <si>
    <t>Reduce the amount of text on this page.</t>
  </si>
  <si>
    <t>D</t>
  </si>
  <si>
    <t>after screen of selecting all things you want to visit, have the next screen be you inputting dates, and then display on final itinerary</t>
  </si>
  <si>
    <t>Planned itineraries do not display dates</t>
  </si>
  <si>
    <t xml:space="preserve">This may be an issue for users because there is not enough information on their saved itinerary for them to remember when their trip is. </t>
  </si>
  <si>
    <t xml:space="preserve">Add in a specific date that a group or a user can select to go on the trip at. </t>
  </si>
  <si>
    <t>A, D</t>
  </si>
  <si>
    <t>have all starred itineraries have orange star</t>
  </si>
  <si>
    <t>Saving an itinerary in the UI turns the star orange. This is not reflected in the saved itineraries page.</t>
  </si>
  <si>
    <t xml:space="preserve">Users star'd itinerary items they've searched for should be reflected in the liked page. </t>
  </si>
  <si>
    <t>Save the starred status in the saved page</t>
  </si>
  <si>
    <t>change to person icon</t>
  </si>
  <si>
    <t>Icon used to show profile details is a star.</t>
  </si>
  <si>
    <t>Showing a star is not intuitive to represent a profile tab.</t>
  </si>
  <si>
    <t>Change this icon to a more familiar profile icon, such as 👤.</t>
  </si>
  <si>
    <t>Heuristic</t>
  </si>
  <si>
    <t># Viol. (sev 0)</t>
  </si>
  <si>
    <t># Viol. (sev 1)</t>
  </si>
  <si>
    <t># Viol. (sev 2)</t>
  </si>
  <si>
    <t># Viol. (sev 3)</t>
  </si>
  <si>
    <t># Viol. (sev 4)</t>
  </si>
  <si>
    <t># Viol. (total)</t>
  </si>
  <si>
    <t>H5: Error Prevention</t>
  </si>
  <si>
    <t>H12. ​​Value Alignment &amp; Inclusion</t>
  </si>
  <si>
    <t>Total Violations</t>
  </si>
  <si>
    <t>* for this to calculate properly, delete any unused rows from your 'Group Heuristic Evaluation' chart!</t>
  </si>
  <si>
    <t xml:space="preserve">Evaluator A 
</t>
  </si>
  <si>
    <t xml:space="preserve">Evaluator B
</t>
  </si>
  <si>
    <t xml:space="preserve">Evaluator C 
</t>
  </si>
  <si>
    <t xml:space="preserve">Evaluator D 
</t>
  </si>
  <si>
    <t>Total (sevs. 3 &amp; 4)</t>
  </si>
  <si>
    <t>Total (all sevs)</t>
  </si>
  <si>
    <r>
      <rPr>
        <rFont val="Arial"/>
        <color theme="1"/>
      </rPr>
      <t xml:space="preserve">Revisit's design is visually appealing and intuitive overall, but several improvements can enhance usability, streamline navigation, and strengthen focus. Here are some big themes we noticed:
</t>
    </r>
    <r>
      <rPr>
        <rFont val="Arial"/>
        <b/>
        <color theme="1"/>
      </rPr>
      <t>1. Streamlined Navigation</t>
    </r>
    <r>
      <rPr>
        <rFont val="Arial"/>
        <color theme="1"/>
      </rPr>
      <t xml:space="preserve">
Users need greater control over navigation to explore and modify itineraries with ease.
- Add back and undo buttons to give users flexibility in revisiting or adjusting their plans.
- Ensure direct access to tasks like editing and sharing after starring an itinerary to maintain a smooth workflow.
</t>
    </r>
    <r>
      <rPr>
        <rFont val="Arial"/>
        <b/>
        <color theme="1"/>
      </rPr>
      <t xml:space="preserve">2. Feature Clarity and Consistency
</t>
    </r>
    <r>
      <rPr>
        <rFont val="Arial"/>
        <color theme="1"/>
      </rPr>
      <t xml:space="preserve">Social media-inspired elements and inconsistent visual cues create confusion, making it harder for users to intuitively follow the planning process.
- Remove or clarify ambiguous features (e.g., “+” button, “Posts”) that don’t align with the app’s main purpose of travel planning.
- Standardize button colors, icon meanings, and layout elements for visual coherence, helping users anticipate actions and navigate seamlessly.
</t>
    </r>
    <r>
      <rPr>
        <rFont val="Arial"/>
        <b/>
        <color theme="1"/>
      </rPr>
      <t xml:space="preserve">3. Enhanced Community and Collaboration
</t>
    </r>
    <r>
      <rPr>
        <rFont val="Arial"/>
        <color theme="1"/>
      </rPr>
      <t>Community and collaboration features can be strengthened to support interaction and group planning.
- Allow users to leave review comments on itineraries and create predefined collaboration groups for easy, personalized trip planning.
- Differentiate collaborative and sharing tasks to avoid redundancy and clarify user workflows.
Overall, we really enjoyed testing out the app and think a few adjustments to increase clarity and efficiency would be game changing! Excited for the expo :)</t>
    </r>
  </si>
</sst>
</file>

<file path=xl/styles.xml><?xml version="1.0" encoding="utf-8"?>
<styleSheet xmlns="http://schemas.openxmlformats.org/spreadsheetml/2006/main" xmlns:x14ac="http://schemas.microsoft.com/office/spreadsheetml/2009/9/ac" xmlns:mc="http://schemas.openxmlformats.org/markup-compatibility/2006">
  <fonts count="18">
    <font>
      <sz val="10.0"/>
      <color rgb="FF000000"/>
      <name val="Arial"/>
      <scheme val="minor"/>
    </font>
    <font>
      <b/>
      <color theme="1"/>
      <name val="Arial"/>
      <scheme val="minor"/>
    </font>
    <font>
      <color rgb="FF000000"/>
      <name val="Arial"/>
    </font>
    <font>
      <color theme="1"/>
      <name val="Arial"/>
      <scheme val="minor"/>
    </font>
    <font>
      <i/>
      <color theme="1"/>
      <name val="Arial"/>
      <scheme val="minor"/>
    </font>
    <font>
      <color rgb="FF434343"/>
      <name val="Roboto"/>
    </font>
    <font>
      <color rgb="FFFFCFC9"/>
      <name val="Roboto"/>
    </font>
    <font>
      <color rgb="FFB10202"/>
      <name val="Roboto"/>
    </font>
    <font>
      <color rgb="FF753800"/>
      <name val="Roboto"/>
    </font>
    <font>
      <color rgb="FF434343"/>
      <name val="Docs-Roboto"/>
    </font>
    <font>
      <color rgb="FF473821"/>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color theme="1"/>
      <name val="Arial"/>
    </font>
  </fonts>
  <fills count="13">
    <fill>
      <patternFill patternType="none"/>
    </fill>
    <fill>
      <patternFill patternType="lightGray"/>
    </fill>
    <fill>
      <patternFill patternType="solid">
        <fgColor rgb="FFFFFFFF"/>
        <bgColor rgb="FFFFFFFF"/>
      </patternFill>
    </fill>
    <fill>
      <patternFill patternType="solid">
        <fgColor rgb="FFF3F3F3"/>
        <bgColor rgb="FFF3F3F3"/>
      </patternFill>
    </fill>
    <fill>
      <patternFill patternType="solid">
        <fgColor rgb="FFFFCFC9"/>
        <bgColor rgb="FFFFCFC9"/>
      </patternFill>
    </fill>
    <fill>
      <patternFill patternType="solid">
        <fgColor rgb="FFFFFF00"/>
        <bgColor rgb="FFFFFF00"/>
      </patternFill>
    </fill>
    <fill>
      <patternFill patternType="solid">
        <fgColor rgb="FF00FFFF"/>
        <bgColor rgb="FF00FFFF"/>
      </patternFill>
    </fill>
    <fill>
      <patternFill patternType="solid">
        <fgColor rgb="FFF6F8F9"/>
        <bgColor rgb="FFF6F8F9"/>
      </patternFill>
    </fill>
    <fill>
      <patternFill patternType="solid">
        <fgColor rgb="FFB6D7A8"/>
        <bgColor rgb="FFB6D7A8"/>
      </patternFill>
    </fill>
    <fill>
      <patternFill patternType="solid">
        <fgColor rgb="FFD9EAD3"/>
        <bgColor rgb="FFD9EAD3"/>
      </patternFill>
    </fill>
    <fill>
      <patternFill patternType="solid">
        <fgColor rgb="FF00FF00"/>
        <bgColor rgb="FF00FF00"/>
      </patternFill>
    </fill>
    <fill>
      <patternFill patternType="solid">
        <fgColor rgb="FF93C47D"/>
        <bgColor rgb="FF93C47D"/>
      </patternFill>
    </fill>
    <fill>
      <patternFill patternType="solid">
        <fgColor rgb="FFEFEFEF"/>
        <bgColor rgb="FFEFEFEF"/>
      </patternFill>
    </fill>
  </fills>
  <borders count="38">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000000"/>
      </right>
      <top style="thin">
        <color rgb="FFFFFF00"/>
      </top>
      <bottom style="thin">
        <color rgb="FFFFFF00"/>
      </bottom>
    </border>
    <border>
      <left style="thin">
        <color rgb="FF00FFFF"/>
      </left>
      <right style="thin">
        <color rgb="FF00FFFF"/>
      </right>
      <top style="thin">
        <color rgb="FF00FFFF"/>
      </top>
      <bottom style="thin">
        <color rgb="FF00FFFF"/>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B6D7A8"/>
      </left>
      <right style="thin">
        <color rgb="FFB6D7A8"/>
      </right>
      <top style="thin">
        <color rgb="FFB6D7A8"/>
      </top>
      <bottom style="thin">
        <color rgb="FFB6D7A8"/>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D9EAD3"/>
      </left>
      <right style="thin">
        <color rgb="FFD9EAD3"/>
      </right>
      <top style="thin">
        <color rgb="FFD9EAD3"/>
      </top>
      <bottom style="thin">
        <color rgb="FFD9EAD3"/>
      </bottom>
    </border>
    <border>
      <left style="thin">
        <color rgb="FFB6D7A8"/>
      </left>
      <right style="thin">
        <color rgb="FF000000"/>
      </right>
      <top style="thin">
        <color rgb="FFB6D7A8"/>
      </top>
      <bottom style="thin">
        <color rgb="FFB6D7A8"/>
      </bottom>
    </border>
    <border>
      <left style="thin">
        <color rgb="FFFFFFFF"/>
      </left>
      <right style="thin">
        <color rgb="FF000000"/>
      </right>
      <top style="thin">
        <color rgb="FFFFFFFF"/>
      </top>
      <bottom style="thin">
        <color rgb="FFFFFFFF"/>
      </bottom>
    </border>
    <border>
      <left style="thin">
        <color rgb="FFFFFFFF"/>
      </left>
      <right style="thin">
        <color rgb="FFF6F8F9"/>
      </right>
      <top style="thin">
        <color rgb="FFF6F8F9"/>
      </top>
      <bottom style="thin">
        <color rgb="FFF6F8F9"/>
      </bottom>
    </border>
    <border>
      <left style="thin">
        <color rgb="FFF6F8F9"/>
      </left>
      <right style="thin">
        <color rgb="FF000000"/>
      </right>
      <top style="thin">
        <color rgb="FFF6F8F9"/>
      </top>
      <bottom style="thin">
        <color rgb="FFF6F8F9"/>
      </bottom>
    </border>
    <border>
      <left style="thin">
        <color rgb="FF442F65"/>
      </left>
      <right style="thin">
        <color rgb="FF000000"/>
      </right>
      <top style="thin">
        <color rgb="FFFFFFFF"/>
      </top>
      <bottom style="thin">
        <color rgb="FFFFFFFF"/>
      </bottom>
    </border>
    <border>
      <left style="thin">
        <color rgb="FF442F65"/>
      </left>
      <right style="thin">
        <color rgb="FF000000"/>
      </right>
      <top style="thin">
        <color rgb="FF00FF00"/>
      </top>
      <bottom style="thin">
        <color rgb="FF00FF00"/>
      </bottom>
    </border>
    <border>
      <left style="thin">
        <color rgb="FFD9EAD3"/>
      </left>
      <right style="thin">
        <color rgb="FF000000"/>
      </right>
      <top style="thin">
        <color rgb="FFD9EAD3"/>
      </top>
      <bottom style="thin">
        <color rgb="FFD9EAD3"/>
      </bottom>
    </border>
    <border>
      <left style="thin">
        <color rgb="FF93C47D"/>
      </left>
      <right style="thin">
        <color rgb="FF000000"/>
      </right>
      <top style="thin">
        <color rgb="FF93C47D"/>
      </top>
      <bottom style="thin">
        <color rgb="FF93C47D"/>
      </bottom>
    </border>
    <border>
      <left style="thin">
        <color rgb="FF000000"/>
      </left>
      <right style="thin">
        <color rgb="FF442F65"/>
      </right>
      <top style="thin">
        <color rgb="FFFFFFFF"/>
      </top>
      <bottom style="thin">
        <color rgb="FFFFFFFF"/>
      </bottom>
    </border>
    <border>
      <left style="thin">
        <color rgb="FF00FFFF"/>
      </left>
      <right style="thin">
        <color rgb="FF000000"/>
      </right>
      <top style="thin">
        <color rgb="FF00FFFF"/>
      </top>
      <bottom style="thin">
        <color rgb="FF00FFFF"/>
      </bottom>
    </border>
    <border>
      <left style="thin">
        <color rgb="FF000000"/>
      </left>
      <right style="thin">
        <color rgb="FF442F65"/>
      </right>
      <top style="thin">
        <color rgb="FFF6F8F9"/>
      </top>
      <bottom style="thin">
        <color rgb="FFF6F8F9"/>
      </bottom>
    </border>
    <border>
      <left style="thin">
        <color rgb="FF442F65"/>
      </left>
      <right style="thin">
        <color rgb="FF000000"/>
      </right>
      <top style="thin">
        <color rgb="FFF6F8F9"/>
      </top>
      <bottom style="thin">
        <color rgb="FFF6F8F9"/>
      </bottom>
    </border>
    <border>
      <left style="thin">
        <color rgb="FF442F65"/>
      </left>
      <right style="thin">
        <color rgb="FF000000"/>
      </right>
      <top style="thin">
        <color rgb="FFFFFF00"/>
      </top>
      <bottom style="thin">
        <color rgb="FF442F65"/>
      </bottom>
    </border>
    <border>
      <left style="thin">
        <color rgb="FFF6F8F9"/>
      </left>
      <right style="thin">
        <color rgb="FF000000"/>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000000"/>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1">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2" fontId="2" numFmtId="0" xfId="0" applyAlignment="1" applyFill="1" applyFont="1">
      <alignment horizontal="left" readingOrder="0" shrinkToFit="0" wrapText="1"/>
    </xf>
    <xf borderId="0" fillId="0" fontId="3" numFmtId="0" xfId="0" applyAlignment="1" applyFont="1">
      <alignment horizontal="left" readingOrder="0" shrinkToFit="0" wrapText="1"/>
    </xf>
    <xf borderId="0" fillId="0" fontId="4" numFmtId="0" xfId="0" applyAlignment="1" applyFont="1">
      <alignment horizontal="left" readingOrder="0" shrinkToFit="0" wrapText="1"/>
    </xf>
    <xf borderId="0" fillId="3" fontId="1" numFmtId="0" xfId="0" applyAlignment="1" applyFill="1" applyFont="1">
      <alignment horizontal="left" readingOrder="0" shrinkToFit="0" wrapText="1"/>
    </xf>
    <xf borderId="0" fillId="4" fontId="1" numFmtId="0" xfId="0" applyAlignment="1" applyFill="1" applyFont="1">
      <alignment horizontal="left" readingOrder="0" shrinkToFit="0" wrapText="1"/>
    </xf>
    <xf borderId="1" fillId="0" fontId="3" numFmtId="0" xfId="0" applyAlignment="1" applyBorder="1" applyFont="1">
      <alignment horizontal="left" readingOrder="0" shrinkToFit="0" vertical="center" wrapText="1"/>
    </xf>
    <xf borderId="2" fillId="0" fontId="3" numFmtId="0" xfId="0" applyAlignment="1" applyBorder="1" applyFont="1">
      <alignment horizontal="left" readingOrder="0" shrinkToFit="0" vertical="center" wrapText="1"/>
    </xf>
    <xf borderId="3" fillId="0" fontId="3" numFmtId="0" xfId="0" applyAlignment="1" applyBorder="1" applyFont="1">
      <alignment horizontal="left" readingOrder="0" shrinkToFit="0" vertical="center" wrapText="1"/>
    </xf>
    <xf borderId="4" fillId="5" fontId="5" numFmtId="0" xfId="0" applyAlignment="1" applyBorder="1" applyFill="1" applyFont="1">
      <alignment horizontal="left" readingOrder="0" shrinkToFit="0" vertical="center" wrapText="1"/>
    </xf>
    <xf borderId="5" fillId="6" fontId="5" numFmtId="0" xfId="0" applyAlignment="1" applyBorder="1" applyFill="1" applyFont="1">
      <alignment horizontal="left" readingOrder="0" shrinkToFit="0" vertical="center" wrapText="1"/>
    </xf>
    <xf borderId="6" fillId="7" fontId="5" numFmtId="0" xfId="0" applyAlignment="1" applyBorder="1" applyFill="1" applyFont="1">
      <alignment horizontal="right" shrinkToFit="0" vertical="center" wrapText="0"/>
    </xf>
    <xf borderId="7" fillId="7" fontId="5" numFmtId="0" xfId="0" applyAlignment="1" applyBorder="1" applyFont="1">
      <alignment shrinkToFit="0" vertical="center" wrapText="0"/>
    </xf>
    <xf borderId="7" fillId="7" fontId="5" numFmtId="0" xfId="0" applyAlignment="1" applyBorder="1" applyFont="1">
      <alignment readingOrder="0" shrinkToFit="0" vertical="center" wrapText="0"/>
    </xf>
    <xf borderId="7" fillId="7" fontId="6" numFmtId="0" xfId="0" applyAlignment="1" applyBorder="1" applyFont="1">
      <alignment horizontal="right" shrinkToFit="0" vertical="center" wrapText="0"/>
    </xf>
    <xf borderId="7" fillId="7" fontId="5" numFmtId="49" xfId="0" applyAlignment="1" applyBorder="1" applyFont="1" applyNumberFormat="1">
      <alignment shrinkToFit="0" vertical="center" wrapText="1"/>
    </xf>
    <xf borderId="7" fillId="7" fontId="5" numFmtId="0" xfId="0" applyAlignment="1" applyBorder="1" applyFont="1">
      <alignment shrinkToFit="0" vertical="center" wrapText="1"/>
    </xf>
    <xf borderId="8" fillId="7" fontId="5" numFmtId="0" xfId="0" applyAlignment="1" applyBorder="1" applyFont="1">
      <alignment shrinkToFit="0" vertical="center" wrapText="1"/>
    </xf>
    <xf borderId="8" fillId="0" fontId="3" numFmtId="0" xfId="0" applyAlignment="1" applyBorder="1" applyFont="1">
      <alignment readingOrder="0" shrinkToFit="0" vertical="center" wrapText="0"/>
    </xf>
    <xf borderId="9" fillId="8" fontId="5" numFmtId="0" xfId="0" applyAlignment="1" applyBorder="1" applyFill="1" applyFont="1">
      <alignment horizontal="left" readingOrder="0" shrinkToFit="0" vertical="center" wrapText="1"/>
    </xf>
    <xf borderId="10" fillId="7" fontId="5" numFmtId="0" xfId="0" applyAlignment="1" applyBorder="1" applyFont="1">
      <alignment horizontal="right" shrinkToFit="0" vertical="center" wrapText="0"/>
    </xf>
    <xf borderId="11" fillId="7" fontId="5" numFmtId="0" xfId="0" applyAlignment="1" applyBorder="1" applyFont="1">
      <alignment shrinkToFit="0" vertical="center" wrapText="0"/>
    </xf>
    <xf borderId="11" fillId="7" fontId="6" numFmtId="0" xfId="0" applyAlignment="1" applyBorder="1" applyFont="1">
      <alignment horizontal="right" readingOrder="0" shrinkToFit="0" vertical="center" wrapText="0"/>
    </xf>
    <xf borderId="7" fillId="7" fontId="5" numFmtId="49" xfId="0" applyAlignment="1" applyBorder="1" applyFont="1" applyNumberFormat="1">
      <alignment readingOrder="0" shrinkToFit="0" vertical="center" wrapText="1"/>
    </xf>
    <xf borderId="8" fillId="7" fontId="5" numFmtId="0" xfId="0" applyAlignment="1" applyBorder="1" applyFont="1">
      <alignment readingOrder="0" shrinkToFit="0" vertical="center" wrapText="1"/>
    </xf>
    <xf borderId="12" fillId="0" fontId="3" numFmtId="0" xfId="0" applyAlignment="1" applyBorder="1" applyFont="1">
      <alignment readingOrder="0" shrinkToFit="0" vertical="center" wrapText="0"/>
    </xf>
    <xf borderId="13" fillId="9" fontId="5" numFmtId="0" xfId="0" applyAlignment="1" applyBorder="1" applyFill="1" applyFont="1">
      <alignment horizontal="left" readingOrder="0" shrinkToFit="0" vertical="center" wrapText="1"/>
    </xf>
    <xf borderId="7" fillId="2" fontId="5" numFmtId="0" xfId="0" applyAlignment="1" applyBorder="1" applyFont="1">
      <alignment shrinkToFit="0" vertical="center" wrapText="0"/>
    </xf>
    <xf borderId="7" fillId="2" fontId="7" numFmtId="0" xfId="0" applyAlignment="1" applyBorder="1" applyFont="1">
      <alignment horizontal="right" shrinkToFit="0" vertical="center" wrapText="0"/>
    </xf>
    <xf borderId="7" fillId="2" fontId="5" numFmtId="49" xfId="0" applyAlignment="1" applyBorder="1" applyFont="1" applyNumberFormat="1">
      <alignment shrinkToFit="0" vertical="center" wrapText="1"/>
    </xf>
    <xf borderId="7" fillId="2" fontId="5" numFmtId="0" xfId="0" applyAlignment="1" applyBorder="1" applyFont="1">
      <alignment shrinkToFit="0" vertical="center" wrapText="1"/>
    </xf>
    <xf borderId="8" fillId="2" fontId="5" numFmtId="0" xfId="0" applyAlignment="1" applyBorder="1" applyFont="1">
      <alignment shrinkToFit="0" vertical="center" wrapText="1"/>
    </xf>
    <xf borderId="7" fillId="7" fontId="7" numFmtId="0" xfId="0" applyAlignment="1" applyBorder="1" applyFont="1">
      <alignment horizontal="right" readingOrder="0" shrinkToFit="0" vertical="center" wrapText="0"/>
    </xf>
    <xf borderId="7" fillId="7" fontId="5" numFmtId="0" xfId="0" applyAlignment="1" applyBorder="1" applyFont="1">
      <alignment horizontal="left" readingOrder="0" shrinkToFit="0" vertical="center" wrapText="1"/>
    </xf>
    <xf borderId="11" fillId="7" fontId="5" numFmtId="0" xfId="0" applyAlignment="1" applyBorder="1" applyFont="1">
      <alignment readingOrder="0" shrinkToFit="0" vertical="center" wrapText="0"/>
    </xf>
    <xf borderId="11" fillId="7" fontId="5" numFmtId="49" xfId="0" applyAlignment="1" applyBorder="1" applyFont="1" applyNumberFormat="1">
      <alignment readingOrder="0" shrinkToFit="0" vertical="center" wrapText="1"/>
    </xf>
    <xf borderId="11" fillId="7" fontId="5" numFmtId="0" xfId="0" applyAlignment="1" applyBorder="1" applyFont="1">
      <alignment shrinkToFit="0" vertical="center" wrapText="1"/>
    </xf>
    <xf borderId="12" fillId="7" fontId="5" numFmtId="0" xfId="0" applyAlignment="1" applyBorder="1" applyFont="1">
      <alignment shrinkToFit="0" vertical="center" wrapText="1"/>
    </xf>
    <xf borderId="14" fillId="8" fontId="5" numFmtId="0" xfId="0" applyAlignment="1" applyBorder="1" applyFont="1">
      <alignment horizontal="left" readingOrder="0" shrinkToFit="0" vertical="center" wrapText="1"/>
    </xf>
    <xf borderId="11" fillId="7" fontId="5" numFmtId="0" xfId="0" applyAlignment="1" applyBorder="1" applyFont="1">
      <alignment horizontal="right" shrinkToFit="0" vertical="center" wrapText="0"/>
    </xf>
    <xf borderId="7" fillId="7" fontId="7" numFmtId="0" xfId="0" applyAlignment="1" applyBorder="1" applyFont="1">
      <alignment horizontal="right" shrinkToFit="0" vertical="center" wrapText="0"/>
    </xf>
    <xf borderId="15" fillId="7" fontId="5" numFmtId="0" xfId="0" applyAlignment="1" applyBorder="1" applyFont="1">
      <alignment horizontal="left" readingOrder="0" shrinkToFit="0" vertical="center" wrapText="1"/>
    </xf>
    <xf borderId="16" fillId="7" fontId="5" numFmtId="0" xfId="0" applyAlignment="1" applyBorder="1" applyFont="1">
      <alignment horizontal="right" shrinkToFit="0" vertical="center" wrapText="0"/>
    </xf>
    <xf borderId="11" fillId="7" fontId="7" numFmtId="0" xfId="0" applyAlignment="1" applyBorder="1" applyFont="1">
      <alignment horizontal="right" shrinkToFit="0" vertical="center" wrapText="0"/>
    </xf>
    <xf borderId="11" fillId="7" fontId="5" numFmtId="49" xfId="0" applyAlignment="1" applyBorder="1" applyFont="1" applyNumberFormat="1">
      <alignment shrinkToFit="0" vertical="center" wrapText="1"/>
    </xf>
    <xf borderId="17" fillId="7" fontId="5" numFmtId="0" xfId="0" applyAlignment="1" applyBorder="1" applyFont="1">
      <alignment horizontal="left" readingOrder="0" shrinkToFit="0" vertical="center" wrapText="1"/>
    </xf>
    <xf borderId="7" fillId="2" fontId="8" numFmtId="0" xfId="0" applyAlignment="1" applyBorder="1" applyFont="1">
      <alignment horizontal="right" readingOrder="0" shrinkToFit="0" vertical="center" wrapText="0"/>
    </xf>
    <xf borderId="18" fillId="0" fontId="5" numFmtId="0" xfId="0" applyAlignment="1" applyBorder="1" applyFont="1">
      <alignment horizontal="left" readingOrder="0" shrinkToFit="0" vertical="center" wrapText="1"/>
    </xf>
    <xf borderId="19" fillId="10" fontId="5" numFmtId="0" xfId="0" applyAlignment="1" applyBorder="1" applyFill="1" applyFont="1">
      <alignment horizontal="left" readingOrder="0" shrinkToFit="0" vertical="center" wrapText="1"/>
    </xf>
    <xf borderId="7" fillId="2" fontId="7" numFmtId="0" xfId="0" applyAlignment="1" applyBorder="1" applyFont="1">
      <alignment horizontal="right" shrinkToFit="0" vertical="center" wrapText="0"/>
    </xf>
    <xf borderId="20" fillId="9" fontId="5" numFmtId="0" xfId="0" applyAlignment="1" applyBorder="1" applyFont="1">
      <alignment horizontal="left" readingOrder="0" shrinkToFit="0" vertical="center" wrapText="1"/>
    </xf>
    <xf borderId="11" fillId="2" fontId="5" numFmtId="0" xfId="0" applyAlignment="1" applyBorder="1" applyFont="1">
      <alignment shrinkToFit="0" vertical="center" wrapText="0"/>
    </xf>
    <xf borderId="11" fillId="2" fontId="8" numFmtId="0" xfId="0" applyAlignment="1" applyBorder="1" applyFont="1">
      <alignment horizontal="right" shrinkToFit="0" vertical="center" wrapText="0"/>
    </xf>
    <xf borderId="11" fillId="2" fontId="5" numFmtId="49" xfId="0" applyAlignment="1" applyBorder="1" applyFont="1" applyNumberFormat="1">
      <alignment shrinkToFit="0" vertical="center" wrapText="1"/>
    </xf>
    <xf borderId="11" fillId="2" fontId="5" numFmtId="0" xfId="0" applyAlignment="1" applyBorder="1" applyFont="1">
      <alignment shrinkToFit="0" vertical="center" wrapText="1"/>
    </xf>
    <xf borderId="12" fillId="2" fontId="5" numFmtId="0" xfId="0" applyAlignment="1" applyBorder="1" applyFont="1">
      <alignment shrinkToFit="0" vertical="center" wrapText="1"/>
    </xf>
    <xf borderId="7" fillId="2" fontId="8" numFmtId="0" xfId="0" applyAlignment="1" applyBorder="1" applyFont="1">
      <alignment horizontal="right" shrinkToFit="0" vertical="center" wrapText="0"/>
    </xf>
    <xf borderId="21" fillId="11" fontId="5" numFmtId="0" xfId="0" applyAlignment="1" applyBorder="1" applyFill="1" applyFont="1">
      <alignment horizontal="left" readingOrder="0" shrinkToFit="0" vertical="center" wrapText="1"/>
    </xf>
    <xf borderId="11" fillId="7" fontId="8" numFmtId="0" xfId="0" applyAlignment="1" applyBorder="1" applyFont="1">
      <alignment horizontal="right" shrinkToFit="0" vertical="center" wrapText="0"/>
    </xf>
    <xf borderId="7" fillId="7" fontId="5" numFmtId="0" xfId="0" applyAlignment="1" applyBorder="1" applyFont="1">
      <alignment horizontal="right" shrinkToFit="0" vertical="center" wrapText="0"/>
    </xf>
    <xf borderId="7" fillId="2" fontId="5" numFmtId="0" xfId="0" applyAlignment="1" applyBorder="1" applyFont="1">
      <alignment readingOrder="0" shrinkToFit="0" vertical="center" wrapText="0"/>
    </xf>
    <xf borderId="7" fillId="2" fontId="5" numFmtId="49" xfId="0" applyAlignment="1" applyBorder="1" applyFont="1" applyNumberFormat="1">
      <alignment readingOrder="0" shrinkToFit="0" vertical="center" wrapText="1"/>
    </xf>
    <xf borderId="7" fillId="2" fontId="5" numFmtId="0" xfId="0" applyAlignment="1" applyBorder="1" applyFont="1">
      <alignment horizontal="left" readingOrder="0" shrinkToFit="0" vertical="center" wrapText="1"/>
    </xf>
    <xf borderId="7" fillId="2" fontId="5" numFmtId="0" xfId="0" applyAlignment="1" applyBorder="1" applyFont="1">
      <alignment readingOrder="0" shrinkToFit="0" vertical="center" wrapText="1"/>
    </xf>
    <xf borderId="22" fillId="0" fontId="3" numFmtId="0" xfId="0" applyAlignment="1" applyBorder="1" applyFont="1">
      <alignment readingOrder="0" shrinkToFit="0" vertical="center" wrapText="0"/>
    </xf>
    <xf borderId="23" fillId="6" fontId="5" numFmtId="0" xfId="0" applyAlignment="1" applyBorder="1" applyFont="1">
      <alignment horizontal="left" readingOrder="0" shrinkToFit="0" vertical="center" wrapText="1"/>
    </xf>
    <xf borderId="11" fillId="2" fontId="5" numFmtId="0" xfId="0" applyAlignment="1" applyBorder="1" applyFont="1">
      <alignment readingOrder="0" shrinkToFit="0" vertical="center" wrapText="0"/>
    </xf>
    <xf borderId="11" fillId="2" fontId="5" numFmtId="49" xfId="0" applyAlignment="1" applyBorder="1" applyFont="1" applyNumberFormat="1">
      <alignment readingOrder="0" shrinkToFit="0" vertical="center" wrapText="1"/>
    </xf>
    <xf borderId="24" fillId="0" fontId="3" numFmtId="0" xfId="0" applyAlignment="1" applyBorder="1" applyFont="1">
      <alignment readingOrder="0" shrinkToFit="0" vertical="center" wrapText="0"/>
    </xf>
    <xf borderId="7" fillId="7" fontId="8" numFmtId="0" xfId="0" applyAlignment="1" applyBorder="1" applyFont="1">
      <alignment horizontal="right" shrinkToFit="0" vertical="center" wrapText="0"/>
    </xf>
    <xf borderId="25" fillId="0" fontId="5" numFmtId="0" xfId="0" applyAlignment="1" applyBorder="1" applyFont="1">
      <alignment horizontal="left" readingOrder="0" shrinkToFit="0" vertical="center" wrapText="1"/>
    </xf>
    <xf borderId="11" fillId="2" fontId="8" numFmtId="0" xfId="0" applyAlignment="1" applyBorder="1" applyFont="1">
      <alignment horizontal="right" shrinkToFit="0" vertical="center" wrapText="0"/>
    </xf>
    <xf borderId="11" fillId="2" fontId="8" numFmtId="0" xfId="0" applyAlignment="1" applyBorder="1" applyFont="1">
      <alignment horizontal="right" readingOrder="0" shrinkToFit="0" vertical="center" wrapText="0"/>
    </xf>
    <xf borderId="11" fillId="7" fontId="9" numFmtId="0" xfId="0" applyAlignment="1" applyBorder="1" applyFont="1">
      <alignment horizontal="left" readingOrder="0" shrinkToFit="0" vertical="center" wrapText="1"/>
    </xf>
    <xf borderId="12" fillId="0" fontId="3" numFmtId="0" xfId="0" applyAlignment="1" applyBorder="1" applyFont="1">
      <alignment readingOrder="0" shrinkToFit="0" vertical="center" wrapText="1"/>
    </xf>
    <xf borderId="11" fillId="2" fontId="5" numFmtId="0" xfId="0" applyAlignment="1" applyBorder="1" applyFont="1">
      <alignment shrinkToFit="0" vertical="center" wrapText="0"/>
    </xf>
    <xf borderId="11" fillId="2" fontId="10" numFmtId="0" xfId="0" applyAlignment="1" applyBorder="1" applyFont="1">
      <alignment horizontal="right" shrinkToFit="0" vertical="center" wrapText="0"/>
    </xf>
    <xf borderId="26" fillId="5" fontId="5" numFmtId="0" xfId="0" applyAlignment="1" applyBorder="1" applyFont="1">
      <alignment horizontal="left" readingOrder="0" shrinkToFit="0" vertical="center" wrapText="1"/>
    </xf>
    <xf borderId="27" fillId="7" fontId="5" numFmtId="0" xfId="0" applyAlignment="1" applyBorder="1" applyFont="1">
      <alignment horizontal="left" readingOrder="0" shrinkToFit="0" vertical="center" wrapText="1"/>
    </xf>
    <xf borderId="28" fillId="7" fontId="5" numFmtId="0" xfId="0" applyAlignment="1" applyBorder="1" applyFont="1">
      <alignment horizontal="right" shrinkToFit="0" vertical="center" wrapText="0"/>
    </xf>
    <xf borderId="28" fillId="7" fontId="5" numFmtId="0" xfId="0" applyAlignment="1" applyBorder="1" applyFont="1">
      <alignment shrinkToFit="0" vertical="center" wrapText="0"/>
    </xf>
    <xf borderId="28" fillId="7" fontId="10" numFmtId="0" xfId="0" applyAlignment="1" applyBorder="1" applyFont="1">
      <alignment horizontal="right" shrinkToFit="0" vertical="center" wrapText="0"/>
    </xf>
    <xf borderId="28" fillId="7" fontId="5" numFmtId="49" xfId="0" applyAlignment="1" applyBorder="1" applyFont="1" applyNumberFormat="1">
      <alignment shrinkToFit="0" vertical="center" wrapText="1"/>
    </xf>
    <xf borderId="28" fillId="7" fontId="5" numFmtId="0" xfId="0" applyAlignment="1" applyBorder="1" applyFont="1">
      <alignment shrinkToFit="0" vertical="center" wrapText="1"/>
    </xf>
    <xf borderId="29" fillId="0" fontId="3" numFmtId="0" xfId="0" applyAlignment="1" applyBorder="1" applyFont="1">
      <alignment readingOrder="0" shrinkToFit="0" vertical="center" wrapText="0"/>
    </xf>
    <xf borderId="30" fillId="3" fontId="1" numFmtId="0" xfId="0" applyAlignment="1" applyBorder="1" applyFont="1">
      <alignment readingOrder="0"/>
    </xf>
    <xf borderId="31" fillId="3" fontId="11" numFmtId="0" xfId="0" applyAlignment="1" applyBorder="1" applyFont="1">
      <alignment horizontal="left" readingOrder="0" shrinkToFit="0" wrapText="1"/>
    </xf>
    <xf borderId="32" fillId="3" fontId="11" numFmtId="0" xfId="0" applyAlignment="1" applyBorder="1" applyFont="1">
      <alignment horizontal="left" readingOrder="0" shrinkToFit="0" wrapText="1"/>
    </xf>
    <xf borderId="0" fillId="0" fontId="1" numFmtId="0" xfId="0" applyAlignment="1" applyFont="1">
      <alignment readingOrder="0"/>
    </xf>
    <xf borderId="33" fillId="0" fontId="0" numFmtId="0" xfId="0" applyAlignment="1" applyBorder="1" applyFont="1">
      <alignment readingOrder="0"/>
    </xf>
    <xf borderId="0" fillId="0" fontId="12" numFmtId="0" xfId="0" applyFont="1"/>
    <xf borderId="0" fillId="2" fontId="13" numFmtId="0" xfId="0" applyFont="1"/>
    <xf borderId="34" fillId="0" fontId="12" numFmtId="0" xfId="0" applyBorder="1" applyFont="1"/>
    <xf borderId="33" fillId="0" fontId="0" numFmtId="0" xfId="0" applyAlignment="1" applyBorder="1" applyFont="1">
      <alignment horizontal="left" readingOrder="0" shrinkToFit="0" wrapText="1"/>
    </xf>
    <xf borderId="34" fillId="2" fontId="13" numFmtId="0" xfId="0" applyBorder="1" applyFont="1"/>
    <xf borderId="0" fillId="2" fontId="14" numFmtId="0" xfId="0" applyFont="1"/>
    <xf borderId="35" fillId="0" fontId="1" numFmtId="0" xfId="0" applyAlignment="1" applyBorder="1" applyFont="1">
      <alignment readingOrder="0"/>
    </xf>
    <xf borderId="36" fillId="0" fontId="12" numFmtId="0" xfId="0" applyBorder="1" applyFont="1"/>
    <xf borderId="37" fillId="0" fontId="12" numFmtId="0" xfId="0" applyBorder="1" applyFont="1"/>
    <xf borderId="0" fillId="0" fontId="15" numFmtId="0" xfId="0" applyAlignment="1" applyFont="1">
      <alignment vertical="bottom"/>
    </xf>
    <xf borderId="0" fillId="0" fontId="15"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0" fontId="3" numFmtId="0" xfId="0" applyAlignment="1" applyFont="1">
      <alignment readingOrder="0"/>
    </xf>
    <xf borderId="0" fillId="2" fontId="14" numFmtId="0" xfId="0" applyAlignment="1" applyFont="1">
      <alignment horizontal="left"/>
    </xf>
    <xf borderId="0" fillId="0" fontId="3" numFmtId="0" xfId="0" applyFont="1"/>
    <xf borderId="30" fillId="12" fontId="15" numFmtId="0" xfId="0" applyAlignment="1" applyBorder="1" applyFill="1" applyFont="1">
      <alignment readingOrder="0" vertical="bottom"/>
    </xf>
    <xf borderId="31" fillId="0" fontId="16" numFmtId="0" xfId="0" applyBorder="1" applyFont="1"/>
    <xf borderId="32" fillId="0" fontId="16" numFmtId="0" xfId="0" applyBorder="1" applyFont="1"/>
    <xf borderId="0" fillId="0" fontId="17" numFmtId="0" xfId="0" applyAlignment="1" applyFont="1">
      <alignment readingOrder="0" shrinkToFit="0" vertical="top"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11:J37" displayName="Group_Heuristic_Evaluations" name="Group_Heuristic_Evaluations" id="1">
  <autoFilter ref="$A$11:$J$37"/>
  <tableColumns count="10">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s>
  <tableStyleInfo name="Group Heuristic Evaluation-style" showColumnStripes="0" showFirstColumn="1" showLastColumn="1" showRowStripes="1"/>
  <extLst>
    <ext uri="GoogleSheetsCustomDataVersion1">
      <go:sheetsCustomData xmlns:go="http://customooxmlschemas.google.com/" headerRowCount="1"/>
    </ext>
  </extLst>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 Id="rId5"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13.25"/>
    <col customWidth="1" min="4" max="4" width="30.13"/>
    <col customWidth="1" min="5" max="12" width="22.63"/>
    <col customWidth="1" min="13" max="13" width="15.13"/>
  </cols>
  <sheetData>
    <row r="1">
      <c r="A1" s="1"/>
      <c r="B1" s="1"/>
      <c r="C1" s="1" t="s">
        <v>0</v>
      </c>
      <c r="D1" s="2" t="s">
        <v>1</v>
      </c>
      <c r="E1" s="3"/>
      <c r="F1" s="3"/>
      <c r="G1" s="3"/>
      <c r="H1" s="3"/>
      <c r="I1" s="3"/>
    </row>
    <row r="2">
      <c r="A2" s="3"/>
      <c r="B2" s="3"/>
      <c r="C2" s="3"/>
      <c r="D2" s="3"/>
      <c r="E2" s="3"/>
      <c r="F2" s="3"/>
      <c r="G2" s="3"/>
      <c r="H2" s="3"/>
      <c r="I2" s="3"/>
    </row>
    <row r="3">
      <c r="A3" s="3"/>
      <c r="B3" s="3"/>
      <c r="C3" s="3"/>
      <c r="D3" s="3"/>
      <c r="E3" s="3"/>
      <c r="F3" s="4" t="s">
        <v>2</v>
      </c>
      <c r="H3" s="3"/>
      <c r="I3" s="3"/>
    </row>
    <row r="4">
      <c r="A4" s="5"/>
      <c r="B4" s="5"/>
      <c r="C4" s="5" t="s">
        <v>3</v>
      </c>
      <c r="D4" s="4" t="s">
        <v>4</v>
      </c>
      <c r="E4" s="4"/>
      <c r="F4" s="5" t="s">
        <v>5</v>
      </c>
      <c r="G4" s="4"/>
      <c r="H4" s="3"/>
      <c r="I4" s="3"/>
    </row>
    <row r="5">
      <c r="A5" s="5"/>
      <c r="B5" s="5"/>
      <c r="C5" s="5" t="s">
        <v>6</v>
      </c>
      <c r="D5" s="4" t="s">
        <v>7</v>
      </c>
      <c r="E5" s="4"/>
      <c r="F5" s="5" t="s">
        <v>8</v>
      </c>
      <c r="G5" s="4"/>
      <c r="H5" s="3"/>
      <c r="I5" s="3"/>
    </row>
    <row r="6">
      <c r="A6" s="5"/>
      <c r="B6" s="5"/>
      <c r="C6" s="5" t="s">
        <v>9</v>
      </c>
      <c r="D6" s="4" t="s">
        <v>10</v>
      </c>
      <c r="E6" s="4"/>
      <c r="F6" s="5" t="s">
        <v>11</v>
      </c>
      <c r="G6" s="4"/>
      <c r="H6" s="3"/>
      <c r="I6" s="3"/>
    </row>
    <row r="7">
      <c r="A7" s="3"/>
      <c r="B7" s="3"/>
      <c r="C7" s="3"/>
      <c r="D7" s="3"/>
      <c r="E7" s="3"/>
      <c r="F7" s="5" t="s">
        <v>12</v>
      </c>
      <c r="G7" s="4"/>
      <c r="H7" s="3"/>
      <c r="I7" s="3"/>
    </row>
    <row r="8" ht="79.5" customHeight="1">
      <c r="A8" s="6" t="s">
        <v>13</v>
      </c>
      <c r="D8" s="3"/>
      <c r="E8" s="3"/>
      <c r="F8" s="3"/>
      <c r="G8" s="3"/>
      <c r="H8" s="3"/>
      <c r="I8" s="3"/>
    </row>
    <row r="9" ht="31.5" customHeight="1">
      <c r="A9" s="3"/>
      <c r="B9" s="3"/>
      <c r="C9" s="3"/>
      <c r="D9" s="3"/>
      <c r="E9" s="3"/>
      <c r="F9" s="3"/>
      <c r="G9" s="3"/>
      <c r="H9" s="3"/>
      <c r="I9" s="3"/>
    </row>
    <row r="10" ht="1.5" customHeight="1">
      <c r="A10" s="3"/>
      <c r="B10" s="3"/>
      <c r="C10" s="3"/>
      <c r="D10" s="3"/>
      <c r="E10" s="3"/>
      <c r="F10" s="3"/>
      <c r="G10" s="4" t="s">
        <v>14</v>
      </c>
      <c r="H10" s="3"/>
      <c r="I10" s="3"/>
    </row>
    <row r="11" ht="35.25" customHeight="1">
      <c r="A11" s="7" t="s">
        <v>15</v>
      </c>
      <c r="B11" s="8" t="s">
        <v>16</v>
      </c>
      <c r="C11" s="8" t="s">
        <v>17</v>
      </c>
      <c r="D11" s="8" t="s">
        <v>18</v>
      </c>
      <c r="E11" s="8" t="s">
        <v>19</v>
      </c>
      <c r="F11" s="8" t="s">
        <v>20</v>
      </c>
      <c r="G11" s="8" t="s">
        <v>21</v>
      </c>
      <c r="H11" s="8" t="s">
        <v>22</v>
      </c>
      <c r="I11" s="8" t="s">
        <v>16</v>
      </c>
      <c r="J11" s="9" t="s">
        <v>23</v>
      </c>
    </row>
    <row r="12">
      <c r="A12" s="10">
        <v>0.0</v>
      </c>
      <c r="B12" s="11" t="s">
        <v>24</v>
      </c>
      <c r="C12" s="12">
        <f t="shared" ref="C12:C37" si="1">ROW() - 10</f>
        <v>2</v>
      </c>
      <c r="D12" s="13" t="s">
        <v>25</v>
      </c>
      <c r="E12" s="14" t="s">
        <v>26</v>
      </c>
      <c r="F12" s="15">
        <v>4.0</v>
      </c>
      <c r="G12" s="16" t="s">
        <v>27</v>
      </c>
      <c r="H12" s="17" t="s">
        <v>28</v>
      </c>
      <c r="I12" s="18" t="s">
        <v>29</v>
      </c>
      <c r="J12" s="19" t="s">
        <v>30</v>
      </c>
    </row>
    <row r="13">
      <c r="A13" s="10">
        <v>0.0</v>
      </c>
      <c r="B13" s="20" t="s">
        <v>31</v>
      </c>
      <c r="C13" s="21">
        <f t="shared" si="1"/>
        <v>3</v>
      </c>
      <c r="D13" s="22" t="s">
        <v>32</v>
      </c>
      <c r="E13" s="22" t="s">
        <v>33</v>
      </c>
      <c r="F13" s="23">
        <v>3.0</v>
      </c>
      <c r="G13" s="24" t="s">
        <v>34</v>
      </c>
      <c r="H13" s="17" t="s">
        <v>35</v>
      </c>
      <c r="I13" s="25" t="s">
        <v>36</v>
      </c>
      <c r="J13" s="26" t="s">
        <v>37</v>
      </c>
    </row>
    <row r="14">
      <c r="A14" s="10">
        <v>0.0</v>
      </c>
      <c r="B14" s="27" t="s">
        <v>38</v>
      </c>
      <c r="C14" s="21">
        <f t="shared" si="1"/>
        <v>4</v>
      </c>
      <c r="D14" s="28" t="s">
        <v>39</v>
      </c>
      <c r="E14" s="28" t="s">
        <v>33</v>
      </c>
      <c r="F14" s="29">
        <v>3.0</v>
      </c>
      <c r="G14" s="30" t="s">
        <v>40</v>
      </c>
      <c r="H14" s="31" t="s">
        <v>41</v>
      </c>
      <c r="I14" s="32" t="s">
        <v>42</v>
      </c>
      <c r="J14" s="19" t="s">
        <v>43</v>
      </c>
    </row>
    <row r="15">
      <c r="A15" s="10">
        <v>0.0</v>
      </c>
      <c r="B15" s="27" t="s">
        <v>44</v>
      </c>
      <c r="C15" s="21">
        <f t="shared" si="1"/>
        <v>5</v>
      </c>
      <c r="D15" s="13" t="s">
        <v>45</v>
      </c>
      <c r="E15" s="13" t="s">
        <v>33</v>
      </c>
      <c r="F15" s="33">
        <v>2.0</v>
      </c>
      <c r="G15" s="16" t="s">
        <v>46</v>
      </c>
      <c r="H15" s="17" t="s">
        <v>47</v>
      </c>
      <c r="I15" s="18" t="s">
        <v>48</v>
      </c>
      <c r="J15" s="26" t="s">
        <v>49</v>
      </c>
    </row>
    <row r="16">
      <c r="A16" s="10">
        <v>0.0</v>
      </c>
      <c r="B16" s="34" t="s">
        <v>50</v>
      </c>
      <c r="C16" s="21">
        <f t="shared" si="1"/>
        <v>6</v>
      </c>
      <c r="D16" s="22" t="s">
        <v>51</v>
      </c>
      <c r="E16" s="35" t="s">
        <v>52</v>
      </c>
      <c r="F16" s="23">
        <v>3.0</v>
      </c>
      <c r="G16" s="36" t="s">
        <v>53</v>
      </c>
      <c r="H16" s="37" t="s">
        <v>54</v>
      </c>
      <c r="I16" s="38" t="s">
        <v>55</v>
      </c>
      <c r="J16" s="19" t="s">
        <v>56</v>
      </c>
    </row>
    <row r="17">
      <c r="A17" s="10">
        <v>0.0</v>
      </c>
      <c r="B17" s="39" t="s">
        <v>57</v>
      </c>
      <c r="C17" s="40">
        <f t="shared" si="1"/>
        <v>7</v>
      </c>
      <c r="D17" s="13" t="s">
        <v>39</v>
      </c>
      <c r="E17" s="14" t="s">
        <v>52</v>
      </c>
      <c r="F17" s="41">
        <v>3.0</v>
      </c>
      <c r="G17" s="16" t="s">
        <v>58</v>
      </c>
      <c r="H17" s="17" t="s">
        <v>59</v>
      </c>
      <c r="I17" s="18" t="s">
        <v>60</v>
      </c>
      <c r="J17" s="26" t="s">
        <v>61</v>
      </c>
    </row>
    <row r="18">
      <c r="A18" s="10">
        <v>0.0</v>
      </c>
      <c r="B18" s="42" t="s">
        <v>62</v>
      </c>
      <c r="C18" s="43">
        <f t="shared" si="1"/>
        <v>8</v>
      </c>
      <c r="D18" s="22" t="s">
        <v>63</v>
      </c>
      <c r="E18" s="35" t="s">
        <v>64</v>
      </c>
      <c r="F18" s="44">
        <v>3.0</v>
      </c>
      <c r="G18" s="45" t="s">
        <v>65</v>
      </c>
      <c r="H18" s="37" t="s">
        <v>66</v>
      </c>
      <c r="I18" s="38" t="s">
        <v>67</v>
      </c>
      <c r="J18" s="19" t="s">
        <v>68</v>
      </c>
    </row>
    <row r="19">
      <c r="A19" s="10">
        <v>0.0</v>
      </c>
      <c r="B19" s="46" t="s">
        <v>69</v>
      </c>
      <c r="C19" s="40">
        <f t="shared" si="1"/>
        <v>9</v>
      </c>
      <c r="D19" s="28" t="s">
        <v>25</v>
      </c>
      <c r="E19" s="28" t="s">
        <v>33</v>
      </c>
      <c r="F19" s="47">
        <v>3.0</v>
      </c>
      <c r="G19" s="30" t="s">
        <v>70</v>
      </c>
      <c r="H19" s="31" t="s">
        <v>71</v>
      </c>
      <c r="I19" s="32" t="s">
        <v>72</v>
      </c>
      <c r="J19" s="26" t="s">
        <v>68</v>
      </c>
    </row>
    <row r="20">
      <c r="A20" s="48">
        <v>1.0</v>
      </c>
      <c r="B20" s="42" t="s">
        <v>73</v>
      </c>
      <c r="C20" s="43">
        <f t="shared" si="1"/>
        <v>10</v>
      </c>
      <c r="D20" s="22" t="s">
        <v>74</v>
      </c>
      <c r="E20" s="35" t="s">
        <v>52</v>
      </c>
      <c r="F20" s="44">
        <v>3.0</v>
      </c>
      <c r="G20" s="45" t="s">
        <v>75</v>
      </c>
      <c r="H20" s="37" t="s">
        <v>76</v>
      </c>
      <c r="I20" s="38" t="s">
        <v>77</v>
      </c>
      <c r="J20" s="19" t="s">
        <v>61</v>
      </c>
    </row>
    <row r="21">
      <c r="A21" s="49">
        <v>2.0</v>
      </c>
      <c r="B21" s="46" t="s">
        <v>78</v>
      </c>
      <c r="C21" s="40">
        <f t="shared" si="1"/>
        <v>11</v>
      </c>
      <c r="D21" s="28" t="s">
        <v>25</v>
      </c>
      <c r="E21" s="28" t="s">
        <v>79</v>
      </c>
      <c r="F21" s="50">
        <v>3.0</v>
      </c>
      <c r="G21" s="30" t="s">
        <v>80</v>
      </c>
      <c r="H21" s="31" t="s">
        <v>81</v>
      </c>
      <c r="I21" s="32" t="s">
        <v>82</v>
      </c>
      <c r="J21" s="26" t="s">
        <v>61</v>
      </c>
    </row>
    <row r="22">
      <c r="A22" s="10">
        <v>0.0</v>
      </c>
      <c r="B22" s="51" t="s">
        <v>83</v>
      </c>
      <c r="C22" s="43">
        <f t="shared" si="1"/>
        <v>12</v>
      </c>
      <c r="D22" s="52" t="s">
        <v>84</v>
      </c>
      <c r="E22" s="52" t="s">
        <v>33</v>
      </c>
      <c r="F22" s="53">
        <v>2.0</v>
      </c>
      <c r="G22" s="54" t="s">
        <v>85</v>
      </c>
      <c r="H22" s="55" t="s">
        <v>86</v>
      </c>
      <c r="I22" s="56" t="s">
        <v>87</v>
      </c>
      <c r="J22" s="19" t="s">
        <v>56</v>
      </c>
    </row>
    <row r="23">
      <c r="A23" s="10">
        <v>0.0</v>
      </c>
      <c r="B23" s="46" t="s">
        <v>88</v>
      </c>
      <c r="C23" s="40">
        <f t="shared" si="1"/>
        <v>13</v>
      </c>
      <c r="D23" s="28" t="s">
        <v>74</v>
      </c>
      <c r="E23" s="28" t="s">
        <v>33</v>
      </c>
      <c r="F23" s="57">
        <v>2.0</v>
      </c>
      <c r="G23" s="30" t="s">
        <v>89</v>
      </c>
      <c r="H23" s="31" t="s">
        <v>90</v>
      </c>
      <c r="I23" s="32" t="s">
        <v>91</v>
      </c>
      <c r="J23" s="26" t="s">
        <v>56</v>
      </c>
    </row>
    <row r="24">
      <c r="A24" s="10">
        <v>0.0</v>
      </c>
      <c r="B24" s="58" t="s">
        <v>92</v>
      </c>
      <c r="C24" s="43">
        <f t="shared" si="1"/>
        <v>14</v>
      </c>
      <c r="D24" s="28" t="s">
        <v>93</v>
      </c>
      <c r="E24" s="28" t="s">
        <v>64</v>
      </c>
      <c r="F24" s="57">
        <v>2.0</v>
      </c>
      <c r="G24" s="30" t="s">
        <v>94</v>
      </c>
      <c r="H24" s="31" t="s">
        <v>95</v>
      </c>
      <c r="I24" s="32" t="s">
        <v>96</v>
      </c>
      <c r="J24" s="19" t="s">
        <v>43</v>
      </c>
    </row>
    <row r="25">
      <c r="A25" s="10">
        <v>0.0</v>
      </c>
      <c r="B25" s="46" t="s">
        <v>97</v>
      </c>
      <c r="C25" s="40">
        <f t="shared" si="1"/>
        <v>15</v>
      </c>
      <c r="D25" s="22" t="s">
        <v>63</v>
      </c>
      <c r="E25" s="22" t="s">
        <v>79</v>
      </c>
      <c r="F25" s="59">
        <v>2.0</v>
      </c>
      <c r="G25" s="45" t="s">
        <v>98</v>
      </c>
      <c r="H25" s="37" t="s">
        <v>99</v>
      </c>
      <c r="I25" s="38" t="s">
        <v>100</v>
      </c>
      <c r="J25" s="26" t="s">
        <v>43</v>
      </c>
    </row>
    <row r="26">
      <c r="A26" s="10">
        <v>0.0</v>
      </c>
      <c r="B26" s="39" t="s">
        <v>101</v>
      </c>
      <c r="C26" s="60">
        <f t="shared" si="1"/>
        <v>16</v>
      </c>
      <c r="D26" s="61" t="s">
        <v>102</v>
      </c>
      <c r="E26" s="61" t="s">
        <v>33</v>
      </c>
      <c r="F26" s="47">
        <v>2.0</v>
      </c>
      <c r="G26" s="62" t="s">
        <v>103</v>
      </c>
      <c r="H26" s="63" t="s">
        <v>104</v>
      </c>
      <c r="I26" s="64" t="s">
        <v>105</v>
      </c>
      <c r="J26" s="65" t="s">
        <v>106</v>
      </c>
    </row>
    <row r="27">
      <c r="A27" s="10">
        <v>0.0</v>
      </c>
      <c r="B27" s="66" t="s">
        <v>107</v>
      </c>
      <c r="C27" s="40">
        <f t="shared" si="1"/>
        <v>17</v>
      </c>
      <c r="D27" s="52" t="s">
        <v>84</v>
      </c>
      <c r="E27" s="67" t="s">
        <v>79</v>
      </c>
      <c r="F27" s="53">
        <v>2.0</v>
      </c>
      <c r="G27" s="68" t="s">
        <v>108</v>
      </c>
      <c r="H27" s="55" t="s">
        <v>109</v>
      </c>
      <c r="I27" s="55" t="s">
        <v>110</v>
      </c>
      <c r="J27" s="69" t="s">
        <v>111</v>
      </c>
    </row>
    <row r="28">
      <c r="A28" s="10">
        <v>0.0</v>
      </c>
      <c r="B28" s="39" t="s">
        <v>112</v>
      </c>
      <c r="C28" s="60">
        <f t="shared" si="1"/>
        <v>18</v>
      </c>
      <c r="D28" s="13" t="s">
        <v>74</v>
      </c>
      <c r="E28" s="13" t="s">
        <v>33</v>
      </c>
      <c r="F28" s="70">
        <v>2.0</v>
      </c>
      <c r="G28" s="16" t="s">
        <v>113</v>
      </c>
      <c r="H28" s="17" t="s">
        <v>114</v>
      </c>
      <c r="I28" s="17" t="s">
        <v>115</v>
      </c>
      <c r="J28" s="65" t="s">
        <v>116</v>
      </c>
    </row>
    <row r="29">
      <c r="A29" s="10">
        <v>0.0</v>
      </c>
      <c r="B29" s="51" t="s">
        <v>117</v>
      </c>
      <c r="C29" s="40">
        <f t="shared" si="1"/>
        <v>19</v>
      </c>
      <c r="D29" s="22" t="s">
        <v>39</v>
      </c>
      <c r="E29" s="22" t="s">
        <v>64</v>
      </c>
      <c r="F29" s="59">
        <v>2.0</v>
      </c>
      <c r="G29" s="45" t="s">
        <v>118</v>
      </c>
      <c r="H29" s="37" t="s">
        <v>119</v>
      </c>
      <c r="I29" s="37" t="s">
        <v>120</v>
      </c>
      <c r="J29" s="69" t="s">
        <v>68</v>
      </c>
    </row>
    <row r="30">
      <c r="A30" s="10">
        <v>0.0</v>
      </c>
      <c r="B30" s="42" t="s">
        <v>121</v>
      </c>
      <c r="C30" s="60">
        <f t="shared" si="1"/>
        <v>20</v>
      </c>
      <c r="D30" s="13" t="s">
        <v>122</v>
      </c>
      <c r="E30" s="13" t="s">
        <v>64</v>
      </c>
      <c r="F30" s="70">
        <v>2.0</v>
      </c>
      <c r="G30" s="16" t="s">
        <v>123</v>
      </c>
      <c r="H30" s="17" t="s">
        <v>124</v>
      </c>
      <c r="I30" s="17" t="s">
        <v>125</v>
      </c>
      <c r="J30" s="65" t="s">
        <v>68</v>
      </c>
    </row>
    <row r="31">
      <c r="A31" s="10">
        <v>0.0</v>
      </c>
      <c r="B31" s="39" t="s">
        <v>126</v>
      </c>
      <c r="C31" s="40">
        <f t="shared" si="1"/>
        <v>21</v>
      </c>
      <c r="D31" s="22" t="s">
        <v>74</v>
      </c>
      <c r="E31" s="22" t="s">
        <v>64</v>
      </c>
      <c r="F31" s="59">
        <v>2.0</v>
      </c>
      <c r="G31" s="45" t="s">
        <v>127</v>
      </c>
      <c r="H31" s="37" t="s">
        <v>128</v>
      </c>
      <c r="I31" s="38" t="s">
        <v>129</v>
      </c>
      <c r="J31" s="69" t="s">
        <v>130</v>
      </c>
    </row>
    <row r="32">
      <c r="A32" s="48">
        <v>1.0</v>
      </c>
      <c r="B32" s="42" t="s">
        <v>131</v>
      </c>
      <c r="C32" s="60">
        <f t="shared" si="1"/>
        <v>22</v>
      </c>
      <c r="D32" s="13" t="s">
        <v>102</v>
      </c>
      <c r="E32" s="13" t="s">
        <v>33</v>
      </c>
      <c r="F32" s="70">
        <v>2.0</v>
      </c>
      <c r="G32" s="16" t="s">
        <v>132</v>
      </c>
      <c r="H32" s="17" t="s">
        <v>133</v>
      </c>
      <c r="I32" s="18" t="s">
        <v>134</v>
      </c>
      <c r="J32" s="65" t="s">
        <v>56</v>
      </c>
    </row>
    <row r="33">
      <c r="A33" s="71">
        <v>1.0</v>
      </c>
      <c r="B33" s="66" t="s">
        <v>135</v>
      </c>
      <c r="C33" s="40">
        <f t="shared" si="1"/>
        <v>23</v>
      </c>
      <c r="D33" s="52" t="s">
        <v>32</v>
      </c>
      <c r="E33" s="52" t="s">
        <v>64</v>
      </c>
      <c r="F33" s="72">
        <v>2.0</v>
      </c>
      <c r="G33" s="54" t="s">
        <v>136</v>
      </c>
      <c r="H33" s="55" t="s">
        <v>137</v>
      </c>
      <c r="I33" s="56" t="s">
        <v>138</v>
      </c>
      <c r="J33" s="69" t="s">
        <v>61</v>
      </c>
    </row>
    <row r="34">
      <c r="A34" s="48">
        <v>1.0</v>
      </c>
      <c r="B34" s="66" t="s">
        <v>139</v>
      </c>
      <c r="C34" s="60">
        <f t="shared" si="1"/>
        <v>24</v>
      </c>
      <c r="D34" s="67" t="s">
        <v>102</v>
      </c>
      <c r="E34" s="67" t="s">
        <v>64</v>
      </c>
      <c r="F34" s="73">
        <v>2.0</v>
      </c>
      <c r="G34" s="68" t="s">
        <v>140</v>
      </c>
      <c r="H34" s="74" t="s">
        <v>141</v>
      </c>
      <c r="I34" s="75" t="s">
        <v>142</v>
      </c>
      <c r="J34" s="65" t="s">
        <v>143</v>
      </c>
    </row>
    <row r="35">
      <c r="A35" s="49">
        <v>2.0</v>
      </c>
      <c r="B35" s="66" t="s">
        <v>144</v>
      </c>
      <c r="C35" s="40">
        <f t="shared" si="1"/>
        <v>25</v>
      </c>
      <c r="D35" s="52" t="s">
        <v>39</v>
      </c>
      <c r="E35" s="67" t="s">
        <v>33</v>
      </c>
      <c r="F35" s="53">
        <v>2.0</v>
      </c>
      <c r="G35" s="54" t="s">
        <v>145</v>
      </c>
      <c r="H35" s="55" t="s">
        <v>146</v>
      </c>
      <c r="I35" s="56" t="s">
        <v>147</v>
      </c>
      <c r="J35" s="69" t="s">
        <v>148</v>
      </c>
    </row>
    <row r="36">
      <c r="A36" s="10">
        <v>0.0</v>
      </c>
      <c r="B36" s="42" t="s">
        <v>149</v>
      </c>
      <c r="C36" s="60">
        <f t="shared" si="1"/>
        <v>26</v>
      </c>
      <c r="D36" s="76" t="s">
        <v>63</v>
      </c>
      <c r="E36" s="67" t="s">
        <v>33</v>
      </c>
      <c r="F36" s="77">
        <v>1.0</v>
      </c>
      <c r="G36" s="54" t="s">
        <v>150</v>
      </c>
      <c r="H36" s="55" t="s">
        <v>151</v>
      </c>
      <c r="I36" s="56" t="s">
        <v>152</v>
      </c>
      <c r="J36" s="65" t="s">
        <v>111</v>
      </c>
    </row>
    <row r="37">
      <c r="A37" s="78">
        <v>0.0</v>
      </c>
      <c r="B37" s="79" t="s">
        <v>153</v>
      </c>
      <c r="C37" s="80">
        <f t="shared" si="1"/>
        <v>27</v>
      </c>
      <c r="D37" s="81" t="s">
        <v>102</v>
      </c>
      <c r="E37" s="81" t="s">
        <v>79</v>
      </c>
      <c r="F37" s="82">
        <v>1.0</v>
      </c>
      <c r="G37" s="83" t="s">
        <v>154</v>
      </c>
      <c r="H37" s="84" t="s">
        <v>155</v>
      </c>
      <c r="I37" s="84" t="s">
        <v>156</v>
      </c>
      <c r="J37" s="85" t="s">
        <v>68</v>
      </c>
    </row>
  </sheetData>
  <customSheetViews>
    <customSheetView guid="{D5C3DD98-65B0-428D-9975-D5D1F49383BD}" filter="1" showAutoFilter="1">
      <autoFilter ref="$A$11:$J$37"/>
    </customSheetView>
    <customSheetView guid="{CAAF1C99-34DC-478E-BA02-CDCB52AE432E}" filter="1" showAutoFilter="1">
      <autoFilter ref="$A$11:$J$37"/>
    </customSheetView>
  </customSheetViews>
  <mergeCells count="2">
    <mergeCell ref="F3:G3"/>
    <mergeCell ref="A8:C8"/>
  </mergeCells>
  <dataValidations>
    <dataValidation type="list" allowBlank="1" sqref="D12:D37">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F12:F37">
      <formula1>"0,1,2,3,4"</formula1>
    </dataValidation>
    <dataValidation type="list" allowBlank="1" sqref="J12:J37">
      <formula1>"A,B,C,D"</formula1>
    </dataValidation>
    <dataValidation type="list" allowBlank="1" sqref="E12:E37">
      <formula1>"1. Simple Task,2. Moderate Task,3. Complex Task,4. All Tasks,5. Extra Violations"</formula1>
    </dataValidation>
  </dataValidations>
  <drawing r:id="rId2"/>
  <legacyDrawing r:id="rId3"/>
  <tableParts count="1">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86" t="s">
        <v>157</v>
      </c>
      <c r="B1" s="87" t="s">
        <v>158</v>
      </c>
      <c r="C1" s="87" t="s">
        <v>159</v>
      </c>
      <c r="D1" s="87" t="s">
        <v>160</v>
      </c>
      <c r="E1" s="87" t="s">
        <v>161</v>
      </c>
      <c r="F1" s="87" t="s">
        <v>162</v>
      </c>
      <c r="G1" s="88" t="s">
        <v>163</v>
      </c>
      <c r="I1" s="89"/>
      <c r="J1" s="89"/>
      <c r="K1" s="89"/>
      <c r="L1" s="89"/>
    </row>
    <row r="2">
      <c r="A2" s="90" t="s">
        <v>32</v>
      </c>
      <c r="B2" s="91">
        <f>COUNTIFS('Group Heuristic Evaluation'!D:D, "H1: Visibility of System Status", 'Group Heuristic Evaluation'!F:F, 0)</f>
        <v>0</v>
      </c>
      <c r="C2" s="91">
        <f>COUNTIFS('Group Heuristic Evaluation'!D:D, "H1: Visibility of System Status", 'Group Heuristic Evaluation'!F:F, 1)</f>
        <v>0</v>
      </c>
      <c r="D2" s="92">
        <f>COUNTIFS('Group Heuristic Evaluation'!D:D, "H1: Visibility of System Status", 'Group Heuristic Evaluation'!F:F, 2)</f>
        <v>1</v>
      </c>
      <c r="E2" s="92">
        <f>COUNTIFS('Group Heuristic Evaluation'!D:D, "H1: Visibility of System Status", 'Group Heuristic Evaluation'!F:F, 3)</f>
        <v>1</v>
      </c>
      <c r="F2" s="92">
        <f>COUNTIFS('Group Heuristic Evaluation'!D:D, "H1: Visibility of System Status", 'Group Heuristic Evaluation'!F:F, 4)</f>
        <v>0</v>
      </c>
      <c r="G2" s="93">
        <f t="shared" ref="G2:G5" si="1">SUM(B2:F2)</f>
        <v>2</v>
      </c>
      <c r="I2" s="89"/>
      <c r="J2" s="89"/>
      <c r="K2" s="89"/>
      <c r="L2" s="89"/>
    </row>
    <row r="3">
      <c r="A3" s="94" t="s">
        <v>39</v>
      </c>
      <c r="B3" s="91">
        <f>COUNTIFS('Group Heuristic Evaluation'!D:D, "H2: Match b/w System &amp; World", 'Group Heuristic Evaluation'!F:F, 0)</f>
        <v>0</v>
      </c>
      <c r="C3" s="92">
        <f>COUNTIFS('Group Heuristic Evaluation'!D:D, "H2: Match b/w System &amp; World", 'Group Heuristic Evaluation'!F:F, 1)</f>
        <v>0</v>
      </c>
      <c r="D3" s="92">
        <f>COUNTIFS('Group Heuristic Evaluation'!D:D, "H2: Match b/w System &amp; World", 'Group Heuristic Evaluation'!F:F, 2)</f>
        <v>2</v>
      </c>
      <c r="E3" s="92">
        <f>COUNTIFS('Group Heuristic Evaluation'!D:D, "H2: Match b/w System &amp; World", 'Group Heuristic Evaluation'!F:F, 3)</f>
        <v>2</v>
      </c>
      <c r="F3" s="92">
        <f>COUNTIFS('Group Heuristic Evaluation'!D:D, "H2: Match b/w System &amp; World", 'Group Heuristic Evaluation'!F:F, 4)</f>
        <v>0</v>
      </c>
      <c r="G3" s="95">
        <f t="shared" si="1"/>
        <v>4</v>
      </c>
      <c r="I3" s="89"/>
      <c r="J3" s="89"/>
      <c r="K3" s="89"/>
      <c r="L3" s="89"/>
    </row>
    <row r="4">
      <c r="A4" s="94" t="s">
        <v>51</v>
      </c>
      <c r="B4" s="91">
        <f>COUNTIFS('Group Heuristic Evaluation'!D:D, "H3: User Control &amp; Freedom", 'Group Heuristic Evaluation'!F:F, 0)</f>
        <v>0</v>
      </c>
      <c r="C4" s="92">
        <f>COUNTIFS('Group Heuristic Evaluation'!D:D, "H3: User Control &amp; Freedom", 'Group Heuristic Evaluation'!F:F, 1)</f>
        <v>0</v>
      </c>
      <c r="D4" s="92">
        <f>COUNTIFS('Group Heuristic Evaluation'!D:D, "H3: User Control &amp; Freedom", 'Group Heuristic Evaluation'!F:F, 2)</f>
        <v>0</v>
      </c>
      <c r="E4" s="92">
        <f>COUNTIFS('Group Heuristic Evaluation'!D:D, "H3: User Control &amp; Freedom", 'Group Heuristic Evaluation'!F:F, 3)</f>
        <v>1</v>
      </c>
      <c r="F4" s="92">
        <f>COUNTIFS('Group Heuristic Evaluation'!D:D, "H3: User Control &amp; Freedom", 'Group Heuristic Evaluation'!F:F, 4)</f>
        <v>0</v>
      </c>
      <c r="G4" s="95">
        <f t="shared" si="1"/>
        <v>1</v>
      </c>
      <c r="I4" s="89"/>
      <c r="J4" s="89"/>
      <c r="K4" s="89"/>
      <c r="L4" s="89"/>
    </row>
    <row r="5">
      <c r="A5" s="94" t="s">
        <v>63</v>
      </c>
      <c r="B5" s="91">
        <f>COUNTIFS('Group Heuristic Evaluation'!D:D, "H4: Consistency &amp; Standards", 'Group Heuristic Evaluation'!F:F, 0)</f>
        <v>0</v>
      </c>
      <c r="C5" s="92">
        <f>COUNTIFS('Group Heuristic Evaluation'!D:D, "H4: Consistency &amp; Standards", 'Group Heuristic Evaluation'!F:F, 1)</f>
        <v>1</v>
      </c>
      <c r="D5" s="92">
        <f>COUNTIFS('Group Heuristic Evaluation'!D:D, "H4: Consistency &amp; Standards", 'Group Heuristic Evaluation'!F:F, 2)</f>
        <v>1</v>
      </c>
      <c r="E5" s="92">
        <f>COUNTIFS('Group Heuristic Evaluation'!D:D, "H4: Consistency &amp; Standards", 'Group Heuristic Evaluation'!F:F, 3)</f>
        <v>1</v>
      </c>
      <c r="F5" s="92">
        <f>COUNTIFS('Group Heuristic Evaluation'!D:D, "H4: Consistency &amp; Standards", 'Group Heuristic Evaluation'!F:F, 4)</f>
        <v>0</v>
      </c>
      <c r="G5" s="95">
        <f t="shared" si="1"/>
        <v>3</v>
      </c>
      <c r="I5" s="89"/>
      <c r="J5" s="89"/>
      <c r="K5" s="89"/>
      <c r="L5" s="89"/>
    </row>
    <row r="6">
      <c r="A6" s="94" t="s">
        <v>164</v>
      </c>
      <c r="B6" s="91">
        <f>COUNTIFS('Group Heuristic Evaluation'!D:D, "H5: Error Prevention", 'Group Heuristic Evaluation'!F:F, 0)</f>
        <v>0</v>
      </c>
      <c r="C6" s="92">
        <f>COUNTIFS('Group Heuristic Evaluation'!D:D, "H5: Error Prevention", 'Group Heuristic Evaluation'!F:F, 1)</f>
        <v>0</v>
      </c>
      <c r="D6" s="92">
        <f>COUNTIFS('Group Heuristic Evaluation'!D:D, "H5: Error Prevention", 'Group Heuristic Evaluation'!F:F, 2)</f>
        <v>0</v>
      </c>
      <c r="E6" s="92">
        <f>COUNTIFS('Group Heuristic Evaluation'!D:D, "H5: Error Prevention", 'Group Heuristic Evaluation'!F:F, 3)</f>
        <v>0</v>
      </c>
      <c r="F6" s="92">
        <f>COUNTIFS('Group Heuristic Evaluation'!D:D, "H5: Error Prevention", 'Group Heuristic Evaluation'!F:F, 4)</f>
        <v>0</v>
      </c>
      <c r="G6" s="95">
        <f>SUM(C6:F6)</f>
        <v>0</v>
      </c>
      <c r="I6" s="89"/>
      <c r="J6" s="89"/>
      <c r="K6" s="89"/>
      <c r="L6" s="89"/>
    </row>
    <row r="7">
      <c r="A7" s="94" t="s">
        <v>93</v>
      </c>
      <c r="B7" s="91">
        <f>COUNTIFS('Group Heuristic Evaluation'!D:D, "H6: Recognition not Recall", 'Group Heuristic Evaluation'!F:F, 0)</f>
        <v>0</v>
      </c>
      <c r="C7" s="92">
        <f>COUNTIFS('Group Heuristic Evaluation'!D:D, "H6: Recognition not Recall", 'Group Heuristic Evaluation'!F:F, 1)</f>
        <v>0</v>
      </c>
      <c r="D7" s="92">
        <f>COUNTIFS('Group Heuristic Evaluation'!D:D, "H6: Recognition not Recall", 'Group Heuristic Evaluation'!F:F, 2)</f>
        <v>1</v>
      </c>
      <c r="E7" s="92">
        <f>COUNTIFS('Group Heuristic Evaluation'!D:D, "H6: Recognition not Recall", 'Group Heuristic Evaluation'!F:F, 3)</f>
        <v>0</v>
      </c>
      <c r="F7" s="92">
        <f>COUNTIFS('Group Heuristic Evaluation'!D:D, "H6: Recognition not Recall", 'Group Heuristic Evaluation'!F:F, 4)</f>
        <v>0</v>
      </c>
      <c r="G7" s="95">
        <f t="shared" ref="G7:G13" si="2">SUM(B7:F7)</f>
        <v>1</v>
      </c>
      <c r="I7" s="89"/>
      <c r="J7" s="89"/>
      <c r="K7" s="89"/>
      <c r="L7" s="89"/>
    </row>
    <row r="8">
      <c r="A8" s="94" t="s">
        <v>25</v>
      </c>
      <c r="B8" s="91">
        <f>COUNTIFS('Group Heuristic Evaluation'!D:D, "H7: Flexibility &amp; Efficiency of Use", 'Group Heuristic Evaluation'!F:F, 0)</f>
        <v>0</v>
      </c>
      <c r="C8" s="92">
        <f>COUNTIFS('Group Heuristic Evaluation'!D:D, "H7: Flexibility &amp; Efficiency of Use", 'Group Heuristic Evaluation'!F:F, 1)</f>
        <v>0</v>
      </c>
      <c r="D8" s="92">
        <f>COUNTIFS('Group Heuristic Evaluation'!D:D, "H7: Flexibility &amp; Efficiency of Use", 'Group Heuristic Evaluation'!F:F, 2)</f>
        <v>0</v>
      </c>
      <c r="E8" s="92">
        <f>COUNTIFS('Group Heuristic Evaluation'!D:D, "H7: Flexibility &amp; Efficiency of Use", 'Group Heuristic Evaluation'!F:F, 3)</f>
        <v>2</v>
      </c>
      <c r="F8" s="92">
        <f>COUNTIFS('Group Heuristic Evaluation'!D:D, "H7: Flexibility &amp; Efficiency of Use", 'Group Heuristic Evaluation'!F:F, 4)</f>
        <v>1</v>
      </c>
      <c r="G8" s="95">
        <f t="shared" si="2"/>
        <v>3</v>
      </c>
      <c r="I8" s="89"/>
      <c r="J8" s="89"/>
      <c r="K8" s="89"/>
      <c r="L8" s="89"/>
    </row>
    <row r="9">
      <c r="A9" s="94" t="s">
        <v>102</v>
      </c>
      <c r="B9" s="91">
        <f>COUNTIFS('Group Heuristic Evaluation'!D:D, "H8: Aesthetic &amp; Minimalist Design", 'Group Heuristic Evaluation'!F:F, 0)</f>
        <v>0</v>
      </c>
      <c r="C9" s="96">
        <f>COUNTIFS('Group Heuristic Evaluation'!D:D, "H8: Aesthetic &amp; Minimalist Design", 'Group Heuristic Evaluation'!F:F, 1)</f>
        <v>1</v>
      </c>
      <c r="D9" s="96">
        <f>COUNTIFS('Group Heuristic Evaluation'!D:D, "H8: Aesthetic &amp; Minimalist Design", 'Group Heuristic Evaluation'!F:F, 2)</f>
        <v>3</v>
      </c>
      <c r="E9" s="96">
        <f>COUNTIFS('Group Heuristic Evaluation'!D:D, "H8: Aesthetic &amp; Minimalist Design", 'Group Heuristic Evaluation'!F:F, 3)</f>
        <v>0</v>
      </c>
      <c r="F9" s="96">
        <f>COUNTIFS('Group Heuristic Evaluation'!D:D, "H8: Aesthetic &amp; Minimalist Design", 'Group Heuristic Evaluation'!F:F, 4)</f>
        <v>0</v>
      </c>
      <c r="G9" s="95">
        <f t="shared" si="2"/>
        <v>4</v>
      </c>
      <c r="I9" s="89"/>
      <c r="J9" s="89"/>
      <c r="K9" s="89"/>
      <c r="L9" s="89"/>
    </row>
    <row r="10">
      <c r="A10" s="94" t="s">
        <v>45</v>
      </c>
      <c r="B10" s="91">
        <f>COUNTIFS('Group Heuristic Evaluation'!D:D, "H9: Help Users with Errors", 'Group Heuristic Evaluation'!F:F, 0)</f>
        <v>0</v>
      </c>
      <c r="C10" s="96">
        <f>COUNTIFS('Group Heuristic Evaluation'!D:D, "H9: Help Users with Errors", 'Group Heuristic Evaluation'!F:F, 1)</f>
        <v>0</v>
      </c>
      <c r="D10" s="96">
        <f>COUNTIFS('Group Heuristic Evaluation'!D:D, "H9: Help Users with Errors", 'Group Heuristic Evaluation'!F:F, 2)</f>
        <v>1</v>
      </c>
      <c r="E10" s="96">
        <f>COUNTIFS('Group Heuristic Evaluation'!D:D, "H9: Help Users with Errors", 'Group Heuristic Evaluation'!F:F, 3)</f>
        <v>0</v>
      </c>
      <c r="F10" s="96">
        <f>COUNTIFS('Group Heuristic Evaluation'!D:D, "H9: Help Users with Errors", 'Group Heuristic Evaluation'!F:F, 4)</f>
        <v>0</v>
      </c>
      <c r="G10" s="95">
        <f t="shared" si="2"/>
        <v>1</v>
      </c>
      <c r="I10" s="89"/>
      <c r="J10" s="89"/>
      <c r="K10" s="89"/>
      <c r="L10" s="89"/>
    </row>
    <row r="11">
      <c r="A11" s="94" t="s">
        <v>122</v>
      </c>
      <c r="B11" s="91">
        <f>COUNTIFS('Group Heuristic Evaluation'!D:D, "H10: Help &amp; Documentation", 'Group Heuristic Evaluation'!F:F, 0)</f>
        <v>0</v>
      </c>
      <c r="C11" s="96">
        <f>COUNTIFS('Group Heuristic Evaluation'!D:D, "H10: Help &amp; Documentation", 'Group Heuristic Evaluation'!F:F, 1)</f>
        <v>0</v>
      </c>
      <c r="D11" s="96">
        <f>COUNTIFS('Group Heuristic Evaluation'!D:D, "H10: Help &amp; Documentation", 'Group Heuristic Evaluation'!F:F, 2)</f>
        <v>1</v>
      </c>
      <c r="E11" s="96">
        <f>COUNTIFS('Group Heuristic Evaluation'!D:D, "H10: Help &amp; Documentation", 'Group Heuristic Evaluation'!F:F, 3)</f>
        <v>0</v>
      </c>
      <c r="F11" s="96">
        <f>COUNTIFS('Group Heuristic Evaluation'!D:D, "H10: Help &amp; Documentation", 'Group Heuristic Evaluation'!F:F, 4)</f>
        <v>0</v>
      </c>
      <c r="G11" s="95">
        <f t="shared" si="2"/>
        <v>1</v>
      </c>
      <c r="I11" s="89"/>
      <c r="J11" s="89"/>
      <c r="K11" s="89"/>
      <c r="L11" s="89"/>
    </row>
    <row r="12">
      <c r="A12" s="94" t="s">
        <v>84</v>
      </c>
      <c r="B12" s="91">
        <f>COUNTIFS('Group Heuristic Evaluation'!D:D, "H11: Accessible Design", 'Group Heuristic Evaluation'!F:F, 0)</f>
        <v>0</v>
      </c>
      <c r="C12" s="96">
        <f>COUNTIFS('Group Heuristic Evaluation'!D:D, "H11: Accessible Design", 'Group Heuristic Evaluation'!F:F, 1)</f>
        <v>0</v>
      </c>
      <c r="D12" s="96">
        <f>COUNTIFS('Group Heuristic Evaluation'!D:D, "H11: Accessible Design", 'Group Heuristic Evaluation'!F:F, 2)</f>
        <v>2</v>
      </c>
      <c r="E12" s="96">
        <f>COUNTIFS('Group Heuristic Evaluation'!D:D, "H11: Accessible Design", 'Group Heuristic Evaluation'!F:F, 3)</f>
        <v>0</v>
      </c>
      <c r="F12" s="96">
        <f>COUNTIFS('Group Heuristic Evaluation'!D:D, "H11: Accessible Design", 'Group Heuristic Evaluation'!F:F, 4)</f>
        <v>0</v>
      </c>
      <c r="G12" s="95">
        <f t="shared" si="2"/>
        <v>2</v>
      </c>
      <c r="I12" s="89"/>
      <c r="J12" s="89"/>
      <c r="K12" s="89"/>
      <c r="L12" s="89"/>
    </row>
    <row r="13">
      <c r="A13" s="94" t="s">
        <v>165</v>
      </c>
      <c r="B13" s="91">
        <f>COUNTIFS('Group Heuristic Evaluation'!D:D, "H12: Value Alignment &amp; Inclusion", 'Group Heuristic Evaluation'!F:F, 0)</f>
        <v>0</v>
      </c>
      <c r="C13" s="96">
        <f>COUNTIFS('Group Heuristic Evaluation'!D:D, "H12: Value Alignment &amp; Inclusion", 'Group Heuristic Evaluation'!F:F, 1)</f>
        <v>0</v>
      </c>
      <c r="D13" s="96">
        <f>COUNTIFS('Group Heuristic Evaluation'!D:D, "H12: Value Alignment &amp; Inclusion", 'Group Heuristic Evaluation'!F:F, 2)</f>
        <v>3</v>
      </c>
      <c r="E13" s="96">
        <f>COUNTIFS('Group Heuristic Evaluation'!D:D, "H12: Value Alignment &amp; Inclusion", 'Group Heuristic Evaluation'!F:F, 3)</f>
        <v>1</v>
      </c>
      <c r="F13" s="96">
        <f>COUNTIFS('Group Heuristic Evaluation'!D:D, "H12: Value Alignment &amp; Inclusion", 'Group Heuristic Evaluation'!F:F, 4)</f>
        <v>0</v>
      </c>
      <c r="G13" s="95">
        <f t="shared" si="2"/>
        <v>4</v>
      </c>
      <c r="I13" s="89"/>
      <c r="J13" s="89"/>
      <c r="K13" s="89"/>
      <c r="L13" s="89"/>
    </row>
    <row r="14">
      <c r="A14" s="97" t="s">
        <v>166</v>
      </c>
      <c r="B14" s="98">
        <f>SUM(B2:B13)</f>
        <v>0</v>
      </c>
      <c r="C14" s="98">
        <f t="shared" ref="C14:D14" si="3">SUM(C1:C13)</f>
        <v>2</v>
      </c>
      <c r="D14" s="98">
        <f t="shared" si="3"/>
        <v>15</v>
      </c>
      <c r="E14" s="98">
        <f t="shared" ref="E14:G14" si="4">SUM(E2:E13)</f>
        <v>8</v>
      </c>
      <c r="F14" s="98">
        <f t="shared" si="4"/>
        <v>1</v>
      </c>
      <c r="G14" s="99">
        <f t="shared" si="4"/>
        <v>26</v>
      </c>
      <c r="I14" s="89"/>
      <c r="J14" s="89"/>
      <c r="K14" s="89"/>
      <c r="L14" s="89"/>
    </row>
    <row r="16">
      <c r="A16" s="100"/>
      <c r="B16" s="100"/>
      <c r="C16" s="100"/>
      <c r="D16" s="100"/>
      <c r="E16" s="100"/>
      <c r="F16" s="100"/>
      <c r="G16" s="100"/>
    </row>
    <row r="17">
      <c r="A17" s="100"/>
      <c r="B17" s="100"/>
      <c r="C17" s="100"/>
      <c r="D17" s="100"/>
      <c r="E17" s="100"/>
      <c r="F17" s="100"/>
      <c r="G17" s="100"/>
    </row>
    <row r="18">
      <c r="A18" s="100"/>
      <c r="B18" s="100"/>
      <c r="C18" s="100"/>
      <c r="D18" s="100"/>
      <c r="E18" s="100"/>
      <c r="F18" s="100"/>
      <c r="G18" s="100"/>
    </row>
    <row r="19">
      <c r="A19" s="100"/>
      <c r="B19" s="100"/>
      <c r="C19" s="100"/>
      <c r="D19" s="100"/>
      <c r="E19" s="100"/>
      <c r="F19" s="100"/>
      <c r="G19" s="100"/>
    </row>
    <row r="20">
      <c r="A20" s="100"/>
      <c r="B20" s="100"/>
      <c r="C20" s="100"/>
      <c r="D20" s="100"/>
      <c r="E20" s="100"/>
      <c r="F20" s="100"/>
      <c r="G20" s="100"/>
    </row>
    <row r="21">
      <c r="A21" s="100"/>
      <c r="B21" s="100"/>
      <c r="C21" s="100"/>
      <c r="D21" s="100"/>
      <c r="E21" s="100"/>
      <c r="F21" s="100"/>
      <c r="G21" s="100"/>
    </row>
    <row r="22">
      <c r="A22" s="100"/>
      <c r="B22" s="100"/>
      <c r="C22" s="100"/>
      <c r="D22" s="100"/>
      <c r="E22" s="100"/>
      <c r="F22" s="100"/>
      <c r="G22" s="100"/>
    </row>
    <row r="23">
      <c r="A23" s="100"/>
      <c r="B23" s="100"/>
      <c r="C23" s="100"/>
      <c r="D23" s="100"/>
      <c r="E23" s="100"/>
      <c r="F23" s="100"/>
      <c r="G23" s="100"/>
    </row>
    <row r="24">
      <c r="A24" s="100"/>
      <c r="B24" s="100"/>
      <c r="C24" s="100"/>
      <c r="D24" s="100"/>
      <c r="E24" s="100"/>
      <c r="F24" s="100"/>
      <c r="G24" s="100"/>
    </row>
    <row r="25">
      <c r="A25" s="100"/>
      <c r="B25" s="100"/>
      <c r="C25" s="100"/>
      <c r="D25" s="100"/>
      <c r="E25" s="100"/>
      <c r="F25" s="100"/>
      <c r="G25" s="100"/>
    </row>
    <row r="26">
      <c r="A26" s="100"/>
      <c r="B26" s="100"/>
      <c r="C26" s="100"/>
      <c r="D26" s="100"/>
      <c r="E26" s="100"/>
      <c r="F26" s="100"/>
      <c r="G26" s="100"/>
    </row>
    <row r="27">
      <c r="A27" s="100"/>
      <c r="B27" s="100"/>
      <c r="C27" s="100"/>
      <c r="D27" s="100"/>
      <c r="E27" s="100"/>
      <c r="F27" s="100"/>
      <c r="G27" s="100"/>
    </row>
    <row r="28">
      <c r="A28" s="100"/>
      <c r="B28" s="100"/>
      <c r="C28" s="100"/>
      <c r="D28" s="100"/>
      <c r="E28" s="100"/>
      <c r="F28" s="100"/>
      <c r="G28" s="100"/>
    </row>
    <row r="29">
      <c r="A29" s="100"/>
      <c r="B29" s="100"/>
      <c r="C29" s="100"/>
      <c r="D29" s="100"/>
      <c r="E29" s="100"/>
      <c r="F29" s="100"/>
      <c r="G29" s="100"/>
    </row>
    <row r="32">
      <c r="A32" s="101"/>
      <c r="B32" s="101"/>
      <c r="C32" s="101"/>
      <c r="D32" s="101"/>
      <c r="E32" s="101"/>
      <c r="F32" s="101"/>
      <c r="G32" s="101"/>
    </row>
    <row r="33">
      <c r="A33" s="101"/>
      <c r="B33" s="101"/>
      <c r="C33" s="101"/>
      <c r="D33" s="101"/>
      <c r="E33" s="101"/>
      <c r="F33" s="101"/>
      <c r="G33" s="101"/>
    </row>
    <row r="34">
      <c r="A34" s="101"/>
      <c r="B34" s="101"/>
      <c r="C34" s="101"/>
      <c r="D34" s="101"/>
      <c r="E34" s="101"/>
      <c r="F34" s="101"/>
      <c r="G34" s="101"/>
    </row>
    <row r="35">
      <c r="A35" s="101"/>
      <c r="B35" s="101"/>
      <c r="C35" s="101"/>
      <c r="D35" s="101"/>
      <c r="E35" s="101"/>
      <c r="F35" s="101"/>
      <c r="G35" s="101"/>
    </row>
    <row r="36">
      <c r="A36" s="101"/>
      <c r="B36" s="101"/>
      <c r="C36" s="101"/>
      <c r="D36" s="101"/>
      <c r="E36" s="101"/>
      <c r="F36" s="101"/>
      <c r="G36" s="101"/>
    </row>
    <row r="37">
      <c r="A37" s="101"/>
      <c r="B37" s="101"/>
      <c r="C37" s="101"/>
      <c r="D37" s="101"/>
      <c r="E37" s="101"/>
      <c r="F37" s="101"/>
      <c r="G37" s="101"/>
    </row>
    <row r="38">
      <c r="A38" s="101"/>
      <c r="B38" s="101"/>
      <c r="C38" s="101"/>
      <c r="D38" s="101"/>
      <c r="E38" s="101"/>
      <c r="F38" s="101"/>
      <c r="G38" s="101"/>
    </row>
    <row r="39">
      <c r="A39" s="101"/>
      <c r="B39" s="101"/>
      <c r="C39" s="101"/>
      <c r="D39" s="101"/>
      <c r="E39" s="101"/>
      <c r="F39" s="101"/>
      <c r="G39" s="101"/>
    </row>
    <row r="40">
      <c r="A40" s="101"/>
      <c r="B40" s="101"/>
      <c r="C40" s="101"/>
      <c r="D40" s="101"/>
      <c r="E40" s="101"/>
      <c r="F40" s="101"/>
      <c r="G40" s="101"/>
    </row>
    <row r="41">
      <c r="A41" s="101"/>
      <c r="B41" s="101"/>
      <c r="C41" s="101"/>
      <c r="D41" s="101"/>
      <c r="E41" s="101"/>
      <c r="F41" s="101"/>
      <c r="G41" s="101"/>
    </row>
    <row r="42">
      <c r="A42" s="101"/>
      <c r="B42" s="101"/>
      <c r="C42" s="101"/>
      <c r="D42" s="101"/>
      <c r="E42" s="101"/>
      <c r="F42" s="101"/>
      <c r="G42" s="101"/>
    </row>
    <row r="43">
      <c r="A43" s="101"/>
      <c r="B43" s="101"/>
      <c r="C43" s="101"/>
      <c r="D43" s="101"/>
      <c r="E43" s="101"/>
      <c r="F43" s="101"/>
      <c r="G43" s="101"/>
    </row>
    <row r="44">
      <c r="A44" s="101"/>
      <c r="B44" s="101"/>
      <c r="C44" s="101"/>
      <c r="D44" s="101"/>
      <c r="E44" s="101"/>
      <c r="F44" s="101"/>
      <c r="G44" s="101"/>
    </row>
    <row r="45">
      <c r="A45" s="101"/>
      <c r="B45" s="101"/>
      <c r="C45" s="101"/>
      <c r="D45" s="101"/>
      <c r="E45" s="101"/>
      <c r="F45" s="101"/>
      <c r="G45" s="101"/>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02" t="s">
        <v>167</v>
      </c>
    </row>
    <row r="2">
      <c r="A2" s="103" t="s">
        <v>20</v>
      </c>
      <c r="B2" s="103" t="s">
        <v>168</v>
      </c>
      <c r="C2" s="103" t="s">
        <v>169</v>
      </c>
      <c r="D2" s="103" t="s">
        <v>170</v>
      </c>
      <c r="E2" s="103" t="s">
        <v>171</v>
      </c>
    </row>
    <row r="3">
      <c r="A3" s="104">
        <v>0.0</v>
      </c>
      <c r="B3" s="96">
        <f>COUNTIFS('Group Heuristic Evaluation'!J:J, "*A*",'Group Heuristic Evaluation'!F:F, 0)/COUNTA('Group Heuristic Evaluation'!D:D)
</f>
        <v>0</v>
      </c>
      <c r="C3" s="105">
        <f>COUNTIFS('Group Heuristic Evaluation'!J:J, "*B*",'Group Heuristic Evaluation'!F:F, 0)/COUNTA('Group Heuristic Evaluation'!D:D)</f>
        <v>0</v>
      </c>
      <c r="D3" s="96">
        <f>COUNTIFS('Group Heuristic Evaluation'!J:J, "*C*",'Group Heuristic Evaluation'!F:F, 0)/COUNTA('Group Heuristic Evaluation'!D:D)</f>
        <v>0</v>
      </c>
      <c r="E3" s="96">
        <f>COUNTIFS('Group Heuristic Evaluation'!J:J, "*D*",'Group Heuristic Evaluation'!F:F, 0)/COUNTA('Group Heuristic Evaluation'!D:D)</f>
        <v>0</v>
      </c>
    </row>
    <row r="4">
      <c r="A4" s="104">
        <v>1.0</v>
      </c>
      <c r="B4" s="96">
        <f>COUNTIFS('Group Heuristic Evaluation'!J:J, "*A*",'Group Heuristic Evaluation'!F:F, 1)/COUNTA('Group Heuristic Evaluation'!D:D)
</f>
        <v>0.03225806452</v>
      </c>
      <c r="C4" s="105">
        <f>COUNTIFS('Group Heuristic Evaluation'!J:J, "*B*",'Group Heuristic Evaluation'!F:F, 1)/COUNTA('Group Heuristic Evaluation'!D:D)</f>
        <v>0</v>
      </c>
      <c r="D4" s="96">
        <f>COUNTIFS('Group Heuristic Evaluation'!J:J, "*C*",'Group Heuristic Evaluation'!F:F, 1)/COUNTA('Group Heuristic Evaluation'!D:D)</f>
        <v>0.03225806452</v>
      </c>
      <c r="E4" s="96">
        <f>COUNTIFS('Group Heuristic Evaluation'!J:J, "*D*",'Group Heuristic Evaluation'!F:F, 1)/COUNTA('Group Heuristic Evaluation'!D:D)</f>
        <v>0</v>
      </c>
    </row>
    <row r="5">
      <c r="A5" s="104">
        <v>2.0</v>
      </c>
      <c r="B5" s="96">
        <f>COUNTIFS('Group Heuristic Evaluation'!J:J, "*A*",'Group Heuristic Evaluation'!F:F, 2)/COUNTA('Group Heuristic Evaluation'!D:D)
</f>
        <v>0.1935483871</v>
      </c>
      <c r="C5" s="105">
        <f>COUNTIFS('Group Heuristic Evaluation'!J:J, "*B*",'Group Heuristic Evaluation'!F:F, 2)/COUNTA('Group Heuristic Evaluation'!D:D)</f>
        <v>0.2258064516</v>
      </c>
      <c r="D5" s="96">
        <f>COUNTIFS('Group Heuristic Evaluation'!J:J, "*C*",'Group Heuristic Evaluation'!F:F, 2)/COUNTA('Group Heuristic Evaluation'!D:D)</f>
        <v>0.2258064516</v>
      </c>
      <c r="E5" s="96">
        <f>COUNTIFS('Group Heuristic Evaluation'!J:J, "*D*",'Group Heuristic Evaluation'!F:F, 2)/COUNTA('Group Heuristic Evaluation'!D:D)</f>
        <v>0.1290322581</v>
      </c>
    </row>
    <row r="6">
      <c r="A6" s="104">
        <v>3.0</v>
      </c>
      <c r="B6" s="96">
        <f>COUNTIFS('Group Heuristic Evaluation'!J:J, "*A*",'Group Heuristic Evaluation'!F:F, 3)/COUNTA('Group Heuristic Evaluation'!D:D)
</f>
        <v>0.1290322581</v>
      </c>
      <c r="C6" s="105">
        <f>COUNTIFS('Group Heuristic Evaluation'!J:J, "*B*",'Group Heuristic Evaluation'!F:F, 3)/COUNTA('Group Heuristic Evaluation'!D:D)</f>
        <v>0.1935483871</v>
      </c>
      <c r="D6" s="96">
        <f>COUNTIFS('Group Heuristic Evaluation'!J:J, "*C*",'Group Heuristic Evaluation'!F:F, 3)/COUNTA('Group Heuristic Evaluation'!D:D)</f>
        <v>0.09677419355</v>
      </c>
      <c r="E6" s="96">
        <f>COUNTIFS('Group Heuristic Evaluation'!J:J, "*D*",'Group Heuristic Evaluation'!F:F, 3)/COUNTA('Group Heuristic Evaluation'!D:D)</f>
        <v>0.03225806452</v>
      </c>
    </row>
    <row r="7">
      <c r="A7" s="104">
        <v>4.0</v>
      </c>
      <c r="B7" s="96">
        <f>COUNTIFS('Group Heuristic Evaluation'!J:J, "*A*",'Group Heuristic Evaluation'!F:F, 4)/COUNTA('Group Heuristic Evaluation'!D:D)
</f>
        <v>0.03225806452</v>
      </c>
      <c r="C7" s="105">
        <f>COUNTIFS('Group Heuristic Evaluation'!J:J, "*B*",'Group Heuristic Evaluation'!F:F, 4)/COUNTA('Group Heuristic Evaluation'!D:D)</f>
        <v>0.03225806452</v>
      </c>
      <c r="D7" s="96">
        <f>COUNTIFS('Group Heuristic Evaluation'!J:J, "*C*",'Group Heuristic Evaluation'!F:F, 4)/COUNTA('Group Heuristic Evaluation'!D:D)</f>
        <v>0.03225806452</v>
      </c>
      <c r="E7" s="96">
        <f>COUNTIFS('Group Heuristic Evaluation'!J:J, "*D*",'Group Heuristic Evaluation'!F:F, 4)/COUNTA('Group Heuristic Evaluation'!D:D)</f>
        <v>0</v>
      </c>
    </row>
    <row r="8">
      <c r="A8" s="89" t="s">
        <v>172</v>
      </c>
      <c r="B8" s="106">
        <f t="shared" ref="B8:E8" si="1">SUM(B6:B7)</f>
        <v>0.1612903226</v>
      </c>
      <c r="C8" s="106">
        <f t="shared" si="1"/>
        <v>0.2258064516</v>
      </c>
      <c r="D8" s="106">
        <f t="shared" si="1"/>
        <v>0.1290322581</v>
      </c>
      <c r="E8" s="106">
        <f t="shared" si="1"/>
        <v>0.03225806452</v>
      </c>
    </row>
    <row r="9">
      <c r="A9" s="89" t="s">
        <v>173</v>
      </c>
      <c r="B9" s="106">
        <f t="shared" ref="B9:E9" si="2">SUM(B3:B7)</f>
        <v>0.3870967742</v>
      </c>
      <c r="C9" s="106">
        <f t="shared" si="2"/>
        <v>0.4516129032</v>
      </c>
      <c r="D9" s="106">
        <f t="shared" si="2"/>
        <v>0.3870967742</v>
      </c>
      <c r="E9" s="106">
        <f t="shared" si="2"/>
        <v>0.1612903226</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07"/>
      <c r="B1" s="108"/>
      <c r="C1" s="108"/>
      <c r="D1" s="108"/>
      <c r="E1" s="108"/>
      <c r="F1" s="108"/>
      <c r="G1" s="109"/>
    </row>
    <row r="2">
      <c r="A2" s="110" t="s">
        <v>174</v>
      </c>
    </row>
  </sheetData>
  <mergeCells count="2">
    <mergeCell ref="A1:G1"/>
    <mergeCell ref="A2:G27"/>
  </mergeCells>
  <drawing r:id="rId1"/>
</worksheet>
</file>