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Evaluation'!$A$10:$J$59</definedName>
    <definedName hidden="1" localSheetId="0" name="Z_ECF3B328_DDB4_4FE2_8B14_F154FC68F65D_.wvu.FilterData">'Group Heuristic Evaluation'!$A$10:$J$59</definedName>
    <definedName hidden="1" localSheetId="0" name="Z_CAEF7495_FEC4_4788_9F58_EB617F5C37DC_.wvu.FilterData">'Group Heuristic Evaluation'!$A$10:$J$59</definedName>
  </definedNames>
  <calcPr/>
  <customWorkbookViews>
    <customWorkbookView activeSheetId="0" maximized="1" windowHeight="0" windowWidth="0" guid="{CAEF7495-FEC4-4788-9F58-EB617F5C37DC}" name="Group by Task "/>
    <customWorkbookView activeSheetId="0" maximized="1" windowHeight="0" windowWidth="0" guid="{ECF3B328-DDB4-4FE2-8B14-F154FC68F65D}" name="Group by Task"/>
  </customWorkbookViews>
</workbook>
</file>

<file path=xl/sharedStrings.xml><?xml version="1.0" encoding="utf-8"?>
<sst xmlns="http://schemas.openxmlformats.org/spreadsheetml/2006/main" count="394" uniqueCount="253">
  <si>
    <t xml:space="preserve">Prototype Description: </t>
  </si>
  <si>
    <t xml:space="preserve">Timelock is a social platform to document events and experiences with peers. </t>
  </si>
  <si>
    <t xml:space="preserve">Your TA will remove your names before the document is given to the project team. Under the 'Found by' column, use these letters to identify yourselves </t>
  </si>
  <si>
    <t>Simple Task</t>
  </si>
  <si>
    <t>Add Media</t>
  </si>
  <si>
    <t>Evaluator A:</t>
  </si>
  <si>
    <t>Moderate Task</t>
  </si>
  <si>
    <t>Create a Timelock</t>
  </si>
  <si>
    <t>Evaluator B:</t>
  </si>
  <si>
    <t>Complex Task</t>
  </si>
  <si>
    <t>Share a Timelock</t>
  </si>
  <si>
    <t>Evaluator C:</t>
  </si>
  <si>
    <t>Evaluator D:</t>
  </si>
  <si>
    <t>*attach images here if helpful</t>
  </si>
  <si>
    <t>Problem #</t>
  </si>
  <si>
    <t xml:space="preserve">Heuristic </t>
  </si>
  <si>
    <t>Task</t>
  </si>
  <si>
    <t>Severity</t>
  </si>
  <si>
    <t>Description</t>
  </si>
  <si>
    <t>Rationale</t>
  </si>
  <si>
    <t>Fix</t>
  </si>
  <si>
    <t>Found by</t>
  </si>
  <si>
    <t>Column 1</t>
  </si>
  <si>
    <t>Column 2</t>
  </si>
  <si>
    <t>H5: Error Prevention</t>
  </si>
  <si>
    <t>1. Simple Task</t>
  </si>
  <si>
    <t>The interface allows the user to submit various mediums to their timelock by having a Snapchat-esque design where you can swipe to select which mediums to submit, but it is not obvious how to susbmit multiple mediums simultaneously. Also, can the video button also capture a photo like how snapchat works?</t>
  </si>
  <si>
    <t xml:space="preserve">It should be clear to users if multiple mediums are being captured, and if so, which mediums are being captured simultaneously. </t>
  </si>
  <si>
    <t xml:space="preserve">Instead of having a scrollable Snapchat-esque task bar, have the buttons glow purple when certain mediums are being captured. For example, if I"m doing sound and video, have butons that indicate both are being recorded simultaneously. </t>
  </si>
  <si>
    <t>B, C</t>
  </si>
  <si>
    <t xml:space="preserve">The user is not submitting multiple forms of media, only one form of media is being submitted, but tags are generated automatically. For videos, sound is tagged because sound data is collected. For photos, location will be tagged because location is collected. Those are the only two "multi-media" submissions, but they are from a user POV only one type of media. </t>
  </si>
  <si>
    <t>H3: User Control &amp; Freedom</t>
  </si>
  <si>
    <t>Users can click "edit" on their timelock once it's been captured but before it's officially added to go back to the upload screen, but this deletes all the progress the user has made.</t>
  </si>
  <si>
    <t xml:space="preserve">Users should be able to still perserve their previously captured timelock and edit other details (such as location) by going back. </t>
  </si>
  <si>
    <t>Provide users with an option to add other details (such as location, time, date, etc. ) on the page where they can add a comment. Or a redo button to indicate the media is lost</t>
  </si>
  <si>
    <t>B, A</t>
  </si>
  <si>
    <t xml:space="preserve">A user cannot do anything else besides add a comment. All tags are automatic. This is inline with our design principles of being present. </t>
  </si>
  <si>
    <t xml:space="preserve">There is a button icon on the bottom of the screen, indicating to users whose timelock this is, but its purpose is unclear. Is it clickable? Is it the individual who created the timelock? </t>
  </si>
  <si>
    <t>The shape of the icon makes users think it is clickable and interactive. It is also repeated information since the username is above the comment.</t>
  </si>
  <si>
    <t xml:space="preserve">Change the shape of the button to a box, instead of a button. </t>
  </si>
  <si>
    <t xml:space="preserve">Solution: removed because it did not add anything to the design. We wanted to provide system status update, but moving it to the last page. </t>
  </si>
  <si>
    <t>Added to presentation</t>
  </si>
  <si>
    <t>H8: Aesthetic &amp; Minimalist Design</t>
  </si>
  <si>
    <t>2. Moderate Task</t>
  </si>
  <si>
    <t>The interface has a dynamic graphic in the center of the screen, but it is unclear how this is related to the timelock. Give users the ability to choose their own photo either by uploading or designing on the app</t>
  </si>
  <si>
    <t xml:space="preserve">All content should be explicitly related to the timelock and should be uploaded by the user themselves. </t>
  </si>
  <si>
    <t>Have the user submit their own graphic to represent the timelock, or delete it. Add a button allowing customization for this photo</t>
  </si>
  <si>
    <t>B</t>
  </si>
  <si>
    <t xml:space="preserve">Added an edit button. </t>
  </si>
  <si>
    <t>3. Complex Task</t>
  </si>
  <si>
    <t xml:space="preserve">Users do not have an emergency exit once they click the timelock memento and when they submit their individual photos to the timelock.  Once users share, they are stuck with no where to go. </t>
  </si>
  <si>
    <t xml:space="preserve">Once users share the memento or upload their media, they should be clearly directed to another page where they can take action. </t>
  </si>
  <si>
    <t xml:space="preserve">Once they share the memento, perhaps direct them back to the page where they can create a timelock page. </t>
  </si>
  <si>
    <t xml:space="preserve">Adding a back button. (user flow issues, tying everything together) </t>
  </si>
  <si>
    <t>H11: Accessible Design</t>
  </si>
  <si>
    <t xml:space="preserve">Users are able to view a memento from the timelock, which may include audio, but this audio can be stuck on loop if the user is trying to read about the details.  </t>
  </si>
  <si>
    <t xml:space="preserve">Users may not always want the audio playing, especially as they're reading details, so this should be customizable. </t>
  </si>
  <si>
    <t xml:space="preserve">There should be a button to mute/unmute audio within the memento. </t>
  </si>
  <si>
    <t xml:space="preserve">Adding mute button. </t>
  </si>
  <si>
    <t>H10: Help &amp; Documentation</t>
  </si>
  <si>
    <t>4. All Tasks</t>
  </si>
  <si>
    <t>The interface does not provide any instructions or guidance on what exactly a timelock is and the process of submitting one for a novice user. For instance, what are the different mediums a user can upload besides videos?</t>
  </si>
  <si>
    <t xml:space="preserve">Users should have a clear understanding of what creating a timelock entails, and while some icons are intuitive (like the location icon), some others may not be. </t>
  </si>
  <si>
    <t>Like Snapchat, adding a first-use navigation guide that walks through the entire process of capturing a timelock, including the various mediums it can capture.</t>
  </si>
  <si>
    <t xml:space="preserve">Too complicated, outside of scope. </t>
  </si>
  <si>
    <t>H7: Flexibility &amp; Efficiency of Use</t>
  </si>
  <si>
    <t>The current interface is suited for the user to capture a timelock in real time, but what happens when a user misses their time slot?</t>
  </si>
  <si>
    <t>If timelock times come and go, should users be able to upload mediums even when it's not in real time?</t>
  </si>
  <si>
    <t>Maybe add an optional setting for late uploads?</t>
  </si>
  <si>
    <t xml:space="preserve">Defeats whole purpose. make camera roll option more clear. </t>
  </si>
  <si>
    <t xml:space="preserve">The interface locks the media once it's been added to the timelock, making it uneditable, which can take users by surprise. </t>
  </si>
  <si>
    <t xml:space="preserve">Users should have a clear understanding of how set and stone each step of the process is, and at what point it's no longer editable. </t>
  </si>
  <si>
    <t>Provide a pop-up notification before users select "add" to remind them that this will be the last time they can edit anything about this media. Or a button to hold down for a few seconds to confirm. And adding edit ability to the "Locked" screen to delete (maybe not retake)</t>
  </si>
  <si>
    <t xml:space="preserve">Adding warning next to add button "once you submit you can't edit" --&gt; making design principles more clear a novice user. </t>
  </si>
  <si>
    <t>H1: Visibility of System Status</t>
  </si>
  <si>
    <t xml:space="preserve">In the prototype, it flows from "locked" to "untitled timelock." We understand that these are two different tasks, but it brings up the question of what the "home" or central navigation screen is </t>
  </si>
  <si>
    <t>It is unclear if a user were to just open the app, what screen they would be brought to and where they could go</t>
  </si>
  <si>
    <t>Add some arrows and flows to the prototype in different user situations (during a timelock, not during a timelock) to get the full experience</t>
  </si>
  <si>
    <t>Sophia Bianca LatessaTO DO: Designing a home screen to help the tasks flow better. DONE</t>
  </si>
  <si>
    <t>H4: Consistency &amp; Standards</t>
  </si>
  <si>
    <t>Different media types were originally represented through icons (in the add media flow), but now it's a button labeled "media types."</t>
  </si>
  <si>
    <t xml:space="preserve">Keeping the icons and symbols the same to represent media types will help users quickly identify which media types they want. </t>
  </si>
  <si>
    <t xml:space="preserve">Instead of having a "media types" button, have them select from the media type icons from the upload flow. </t>
  </si>
  <si>
    <t xml:space="preserve">Does not make sense - media types is a button, while the icons are each separate buttons. </t>
  </si>
  <si>
    <t>H12: Value Alignment &amp; Inclusion</t>
  </si>
  <si>
    <t xml:space="preserve">Users do not know what will be in the timelock, until the memento is released, which can raise issues if there is something uploaded that a user doesn't want to be seen. </t>
  </si>
  <si>
    <t xml:space="preserve">Users might not like what they see in the timelock, but there is no way of editing/changing the timelock, which can lead to users' negative feelings towards the app. </t>
  </si>
  <si>
    <t xml:space="preserve">Allow users to report or edit certain timelock submissions. </t>
  </si>
  <si>
    <t>Sophia Bianca LatessaEmphasizing the photos you are in in the timelock and adding the ability to delete them. DONE</t>
  </si>
  <si>
    <t>Once the timelock is shared with friends outside of the event, can they then share the timelock with whoever they want? Or is it a sort of protected link or one time use</t>
  </si>
  <si>
    <t>There could be some privacy concerns that come up once the timelock starts being shared with others</t>
  </si>
  <si>
    <t>Look into some sort of "single use" link or disappearing link, something like that</t>
  </si>
  <si>
    <t>C, A</t>
  </si>
  <si>
    <t xml:space="preserve">One time use link. Wizard of Oz. </t>
  </si>
  <si>
    <t>The interface has a progress bar, timer, and information about users on the top center of the second screen, which is blocked by the IPhone dynamic island (top middle oval thing)</t>
  </si>
  <si>
    <t>Users cannot read the progress on that bar if it's blocked, and the platform should consider compatiibility with iPhones.</t>
  </si>
  <si>
    <t xml:space="preserve">Move it on the side/below </t>
  </si>
  <si>
    <t>B, A, C</t>
  </si>
  <si>
    <t xml:space="preserve">Not an issue - iphone accounts for it. </t>
  </si>
  <si>
    <t>H6: Recognition not Recall</t>
  </si>
  <si>
    <t>5. Extra Violations</t>
  </si>
  <si>
    <t xml:space="preserve">The notification that users get when it's their turn for the timelock only says it's the user's turn, without a call to action. </t>
  </si>
  <si>
    <t xml:space="preserve">Without a clear call to action, users who are unfamiliar with the app in the first couple uses may not know exactly what to do.  </t>
  </si>
  <si>
    <t>Add a short description, such as "5 mins left remaining to capture your timelock"</t>
  </si>
  <si>
    <t xml:space="preserve">Changed the call action </t>
  </si>
  <si>
    <t xml:space="preserve">The interface sends a notification every time another user has submitted to the timelock, which can be overwhelming. </t>
  </si>
  <si>
    <t xml:space="preserve">Users may not need to know after every user has submitted a timelock, as this can make them annoyed of their notifications. </t>
  </si>
  <si>
    <t xml:space="preserve">Group notifications after 5-6 users have submitted to the timelock (or how ever many users depending on the size of the group). </t>
  </si>
  <si>
    <t xml:space="preserve">More social interaction wanted, not changing. </t>
  </si>
  <si>
    <t xml:space="preserve">After creating a timelock page, users are led to another screen where they can share with friends,  but there is no indicator of what timelock they are sharing. </t>
  </si>
  <si>
    <t xml:space="preserve">Users should know for certain which timelock they're sharing with friends. </t>
  </si>
  <si>
    <t xml:space="preserve">Have an indicator on the top of the screen that shows which timelock the user is sharing. </t>
  </si>
  <si>
    <t>Sophia Bianca Latessa add a subtitle that shows which timelock the user is in on the invite friends screen DONE</t>
  </si>
  <si>
    <t xml:space="preserve">There are three selections when inviting friends on the bottom task bar: share, copy link, and more, but it is unclear what the more means. </t>
  </si>
  <si>
    <t xml:space="preserve">To simplify and minimize design, buttons that do not have much purpose can be taken away. </t>
  </si>
  <si>
    <t xml:space="preserve">If "more" is not essential to the user experience, the button can be taken away. </t>
  </si>
  <si>
    <t xml:space="preserve">This is an iphone thing. </t>
  </si>
  <si>
    <t>The timelock creation page doesn't consider recurring events</t>
  </si>
  <si>
    <t xml:space="preserve">Many events may be recurrent, so users should have the ability to note this so they can keep this timelock until the complete end of the event. </t>
  </si>
  <si>
    <t xml:space="preserve">Allow users to activate/deactivate timelocks so they don't have to create a new one each time for recurring events. </t>
  </si>
  <si>
    <t xml:space="preserve">Out of scope, but cool! </t>
  </si>
  <si>
    <t xml:space="preserve">Users are only able to emoji-react to different pieces of media. </t>
  </si>
  <si>
    <t xml:space="preserve">Users may want to react to it in different ways (comments, sounds, etc.) that align with timelocks' values. </t>
  </si>
  <si>
    <t xml:space="preserve">Allow users to react beyond emojis, including comments and sounds. </t>
  </si>
  <si>
    <t xml:space="preserve">Cool, but out of scope. </t>
  </si>
  <si>
    <t xml:space="preserve">Users can share the final memento with others in their contacts, but it is unclear whether this memento is already shared with the people who joined the timelock. </t>
  </si>
  <si>
    <t xml:space="preserve">Users who contributed to the timelock should automatically receive the memento, relieving the user to do another step of sharing it to people they had already invited. . </t>
  </si>
  <si>
    <t>Have a small description explaining that the memento has already been shared to people in the timelock. Could also add a sort of home base where users can explore</t>
  </si>
  <si>
    <t xml:space="preserve">Makes no sense. </t>
  </si>
  <si>
    <t xml:space="preserve">Users are able to share the memento, but not save it on their personal device. </t>
  </si>
  <si>
    <t xml:space="preserve">Users want to perserve mementos to look back on, not just view it once. </t>
  </si>
  <si>
    <t xml:space="preserve">Allow users to save to their device, or have a place on the platform that saves all previous mementos. </t>
  </si>
  <si>
    <t>Sophia Bianca Latessa could add a download button on the new view photo/ view video page DONE (Apple Menu Popup)</t>
  </si>
  <si>
    <t>If users mistakenly select someone to invite there is no confirmation before the invitation is sent out</t>
  </si>
  <si>
    <t>If someone is inviting a lot of people they can easily  invite the wrong person or leave someone out</t>
  </si>
  <si>
    <t>Include some sort of dynamic list that shows who has been added so far in real time before selecting next, or after selecting next, a scree that shows the invites and then a final option to select "send out"</t>
  </si>
  <si>
    <t xml:space="preserve">Not aligned with what happens on other platforms. </t>
  </si>
  <si>
    <t>The time remaining on the notification is not always visible in the app</t>
  </si>
  <si>
    <t>Users may click the notification and may forget how much time is remaining or may not have enough time</t>
  </si>
  <si>
    <t>Have the time be always visible</t>
  </si>
  <si>
    <t>A</t>
  </si>
  <si>
    <t>Sophia Bianca Latessa thoughts? could be an easy fix.  DONE this was already present in the original prototype, its an animation that shows the amount of time remaining, also those are not clickable buttons, those are just 'pills' that give information</t>
  </si>
  <si>
    <t>When clicking "record" the red fills up the button</t>
  </si>
  <si>
    <t>I am used to the Snapchat / iPhone recording standards, so this current circle is a little confusing (does red fill mean recording? or captured?)</t>
  </si>
  <si>
    <t>Borrow from other popular camera apps to communicate recording status more clearly</t>
  </si>
  <si>
    <t>Sophia Bianca Latessa what happens on snapchat/ regina and anna should do whatever is easiest -&gt; this is hard to show given there is no animation here, it will be just like snapchats</t>
  </si>
  <si>
    <t>The interface has edit buttons and back buttons that are supposed to allow users to go back to a previous screen, but those buttons do not work</t>
  </si>
  <si>
    <t xml:space="preserve">Users should be able to go back and edit. </t>
  </si>
  <si>
    <t xml:space="preserve">Edit button is there, so just add the ability to go back onto that edit button. </t>
  </si>
  <si>
    <t xml:space="preserve">Cosmetic issue. </t>
  </si>
  <si>
    <t>H2: Match b/w System &amp; World</t>
  </si>
  <si>
    <t>The interface tells the user to "add a comment" when uploading a timelock, but this doesn't match the users' language.</t>
  </si>
  <si>
    <t xml:space="preserve">While it's clear what the action is (leaving a comment), the action should match the realworld language that users associate more with uploading something. </t>
  </si>
  <si>
    <t>Instead of "comment," use "caption." Also can add more after "Add" to tell the user what they are adding to.</t>
  </si>
  <si>
    <t>Cosmetic issue. Sophia Bianca Latessa let's change to add a caption.  DONE</t>
  </si>
  <si>
    <t>In the notifiication, the interface uses different language about submitting a timelock ("submitted") compared to the language being used when the user submits their own timelock ("add").</t>
  </si>
  <si>
    <t xml:space="preserve">Users may think these are two different tasks due to the differing language. </t>
  </si>
  <si>
    <t xml:space="preserve">Use "submit" for all timelock submissions. </t>
  </si>
  <si>
    <t xml:space="preserve">Sophia Bianca Latessa let's look over where add/ submit is in the timelock. </t>
  </si>
  <si>
    <t xml:space="preserve">The "katie's timelock" indicator moves from the bottom center of the screen to under the comment section, next to the metadata of the timelock. </t>
  </si>
  <si>
    <t xml:space="preserve">For ease of use, users should know exactly where to look to find whose timelock it is, so the positioning should stay the same. </t>
  </si>
  <si>
    <t xml:space="preserve">Move the "katie's timelock" to a standardized place on the screen. </t>
  </si>
  <si>
    <t xml:space="preserve">Cosmetic. Removed anyway. </t>
  </si>
  <si>
    <t>H9: Help Users with Errors</t>
  </si>
  <si>
    <t xml:space="preserve">The interface have users add a description to the media, before they can add it to the timelock. If a user doesn't add a description, they are unable to move to the next step, which is unclear. </t>
  </si>
  <si>
    <t xml:space="preserve">Users should know exactly why they are unable to move onto the next screen. </t>
  </si>
  <si>
    <t xml:space="preserve">Provide an error message that expresses what the media is missing before it can be added to the timelock. </t>
  </si>
  <si>
    <t xml:space="preserve">Out of scope. Error message. </t>
  </si>
  <si>
    <t>The interface allows users to edit the date by clicking a button that says date, which is different from conventional date selections. It is unclear how the buttons differ from one another, is it a dropdown, toggle, enter text etc.</t>
  </si>
  <si>
    <t xml:space="preserve">Users are familiar with date selection that is done by selecting a date on a calendar or typing it out. With the current design, it's unclear what the user is supposed to do with the date. </t>
  </si>
  <si>
    <t xml:space="preserve">Have a calendar for users to choose the date from. </t>
  </si>
  <si>
    <t>B, C, A</t>
  </si>
  <si>
    <t xml:space="preserve">Keeping the consistency. </t>
  </si>
  <si>
    <t xml:space="preserve">The interface says "Untitled Timelock" on the top, while it says "Add a description for your timelock." In the second phrase, it is clearer to the user that this something they should edit; but it's not clear for the first phrase. </t>
  </si>
  <si>
    <t xml:space="preserve">All call-to-actions should stay consistent so users can expect where they need to take action. </t>
  </si>
  <si>
    <t>Change "untitled timelock" to "add a title"</t>
  </si>
  <si>
    <t xml:space="preserve">Sophia Bianca Latessa change untitled timelock to "add a title?" DONE </t>
  </si>
  <si>
    <t xml:space="preserve">Users can invite users and groupchats to their timelock, but they can also share. It is unclear what the difference is.  </t>
  </si>
  <si>
    <t xml:space="preserve">Users should not be confused about the difference between inviting and sharing. </t>
  </si>
  <si>
    <t xml:space="preserve">Simply have users invite friends, instead of sharing it. (choose one). </t>
  </si>
  <si>
    <t xml:space="preserve">Following other app conventions, doesn't make sense to change. </t>
  </si>
  <si>
    <t xml:space="preserve">Timelock creation page asks for a description, but description does not show when the timelock page is finalized. </t>
  </si>
  <si>
    <t xml:space="preserve">Users who are invited to the timelock can easily forget what the event is, and needs relevant information about the event. </t>
  </si>
  <si>
    <t xml:space="preserve">Include the description in the finalized page. </t>
  </si>
  <si>
    <t xml:space="preserve">In the memento page, there's a button for share, which is different than the previous icons used for share. </t>
  </si>
  <si>
    <t xml:space="preserve">Users shouldn't need to look for where to share, so keeping the buttons consistent will lighten the burden off users. </t>
  </si>
  <si>
    <t xml:space="preserve">Instead of saying "share", use the same share icons as before. </t>
  </si>
  <si>
    <t xml:space="preserve">Sophia Bianca Latessa small cosmetic issue. DONE </t>
  </si>
  <si>
    <t xml:space="preserve">Users can swipe the screen to transition from the memento to a detailed view, which can go unnoticed by users. </t>
  </si>
  <si>
    <t xml:space="preserve">It's more intuitive to swipe media (like the memento), rather than the entire screen. </t>
  </si>
  <si>
    <t xml:space="preserve">Bring the two circles up so that it's at the bottom of the momento, so the user is swiping the memento to see details. </t>
  </si>
  <si>
    <t>On media recording and comment page, users are not able to know how many more timelocks they have left</t>
  </si>
  <si>
    <t>This may afffect what they choose to submit. If it is their last submission thaey may want to retake their video</t>
  </si>
  <si>
    <t>Add a small description showing something like "timelock 3/6"</t>
  </si>
  <si>
    <t>C</t>
  </si>
  <si>
    <t xml:space="preserve">It's not # of left, it's a certain amount of time... think that might be better? </t>
  </si>
  <si>
    <t>What happens when a user attempts to click on one of the notifications saying that someone else just submitted to a timelock. Will an error pop up informing them that they cannot see?</t>
  </si>
  <si>
    <t>I could see new users trying to click on this notification and expect to be taken to see this person's content, but they will not be able to see it, so giving some sort of heads up could be helpful</t>
  </si>
  <si>
    <t>Error message saying that content is not visible until some certain time</t>
  </si>
  <si>
    <t xml:space="preserve">Just brings them to locked home page. </t>
  </si>
  <si>
    <t xml:space="preserve">I am not sure what the "Advanced" button means on the timelock creation page </t>
  </si>
  <si>
    <t>There is no other inormation attached to this field. Is it some sort of advanced timelock? What is the difference?</t>
  </si>
  <si>
    <t>Reword? Or offer some additional guidance/information on what advanced means?</t>
  </si>
  <si>
    <t xml:space="preserve">Wizard of oz. </t>
  </si>
  <si>
    <t xml:space="preserve">Design preference: On the invite friends page and the timelock editing page, the three white buttons at the bottom of the screen seem to take up a lot of space </t>
  </si>
  <si>
    <t>This is just personal preference, but I think you could make these buttons smaller which would allow the meat of the page with the relevant info to be larger and have more space.</t>
  </si>
  <si>
    <t>Consider adjusting button sizes</t>
  </si>
  <si>
    <t>On the timelock's home page, there is no way to escape or go to a previous state. There is only one button, which is "share". A user</t>
  </si>
  <si>
    <t xml:space="preserve">I am not sure how a user gets out of this timelock home page and where they would end up if they want to escape to go to a different part of the app </t>
  </si>
  <si>
    <t>Add a back arrow or additional exit route of some sort</t>
  </si>
  <si>
    <t xml:space="preserve">Exit route. Done. </t>
  </si>
  <si>
    <t>Looking at the stats of the timelock</t>
  </si>
  <si>
    <t>When expanding a piece of media, does it indicate who the author was and when it was captured?</t>
  </si>
  <si>
    <t>Maybe need a way to easily see who posted what and when</t>
  </si>
  <si>
    <t>On the media capture page, the camera option is not the second choice for the user. It follows behind messages</t>
  </si>
  <si>
    <t>I would guess that taking a photo is a more common option on that page compared to the messages</t>
  </si>
  <si>
    <t>Switch the camera and message icons so that the camera is slightly more accessible</t>
  </si>
  <si>
    <t>On the page where you add a coment to your upload, is the button that says "ten fred again" something that was explicity added by the user or does it automatically get added by some sort of shazam recognition? If the user added it manually, how can they potentially add more fields in that same area or adjust the song choice?</t>
  </si>
  <si>
    <t>User's may want to add some more customization here by hand choosing a song or adding a location. I am not sure on the functionality of these buttons so maybe it is already taken care of</t>
  </si>
  <si>
    <t>Adding some sort of "+" button next to Katie's timelock to potentially add some other fields or adit the song</t>
  </si>
  <si>
    <t>When creating a new timelock, It could be useful to have the option to use a previously created one as a starting point</t>
  </si>
  <si>
    <t>If there is a recurring event, it could save the user tsome time by simply selecting the specific timelock that they have already used so that they do not have to go through the whole process of filling in all the details every time</t>
  </si>
  <si>
    <t>Including some sort of "favorites" or "recently used" timelock templates</t>
  </si>
  <si>
    <t>If there is a timelock with a large number of participants and a lot of media, it may be helpful to search for specific forms of media or specific songs or locations</t>
  </si>
  <si>
    <t>This is not a necessity just something that could be worth considering</t>
  </si>
  <si>
    <t>Adding search function on Timelock stats page</t>
  </si>
  <si>
    <t>Notification icon on lock screen overlaps with text</t>
  </si>
  <si>
    <t>Doesn't affect much, just a formatting error</t>
  </si>
  <si>
    <t>Adjust formatting</t>
  </si>
  <si>
    <t>When creating a new timelock, where does the "cancel" button lead?</t>
  </si>
  <si>
    <t>Not a problem necessarily, just something to think about. Does it lead to a timelock gallery where I can view old ones?</t>
  </si>
  <si>
    <t>Probably will need another screen for that but it's not related to a task so it's okay :) Could potentially change to "Save as Draft" too</t>
  </si>
  <si>
    <t>Sharing a timelock</t>
  </si>
  <si>
    <t xml:space="preserve">Does this share a link to the app? </t>
  </si>
  <si>
    <t>Probably not needed, but maybe some indication of what is being shared could be helpful</t>
  </si>
  <si>
    <t>Heuristic</t>
  </si>
  <si>
    <t># Viol. (sev 0)</t>
  </si>
  <si>
    <t># Viol. (sev 1)</t>
  </si>
  <si>
    <t># Viol. (sev 2)</t>
  </si>
  <si>
    <t># Viol. (sev 3)</t>
  </si>
  <si>
    <t># Viol. (sev 4)</t>
  </si>
  <si>
    <t># Viol. (total)</t>
  </si>
  <si>
    <t>H12. ​​Value Alignment &amp; Inclusion</t>
  </si>
  <si>
    <t>Total Violations</t>
  </si>
  <si>
    <t>* for this to calculate properly, delete any unused rows from your 'Group Heuristic Evaluation' chart!</t>
  </si>
  <si>
    <r>
      <rPr>
        <rFont val="Arial"/>
        <b/>
        <color theme="1"/>
      </rPr>
      <t xml:space="preserve">Evaluator A 
</t>
    </r>
    <r>
      <rPr>
        <rFont val="Arial"/>
        <b/>
        <i/>
        <color theme="1"/>
      </rPr>
      <t>[your name here]</t>
    </r>
  </si>
  <si>
    <r>
      <rPr>
        <rFont val="Arial"/>
        <b/>
        <color theme="1"/>
      </rPr>
      <t xml:space="preserve">Evaluator B
</t>
    </r>
    <r>
      <rPr>
        <rFont val="Arial"/>
        <b/>
        <i/>
        <color theme="1"/>
      </rPr>
      <t>[your name here]</t>
    </r>
  </si>
  <si>
    <r>
      <rPr>
        <rFont val="Arial"/>
        <b/>
        <color theme="1"/>
      </rPr>
      <t xml:space="preserve">Evaluator C 
</t>
    </r>
    <r>
      <rPr>
        <rFont val="Arial"/>
        <b/>
        <i/>
        <color theme="1"/>
      </rPr>
      <t>[your name here]</t>
    </r>
  </si>
  <si>
    <r>
      <rPr>
        <rFont val="Arial"/>
        <b/>
        <color theme="1"/>
      </rPr>
      <t xml:space="preserve">Evaluator D 
</t>
    </r>
    <r>
      <rPr>
        <rFont val="Arial"/>
        <b/>
        <i/>
        <color theme="1"/>
      </rPr>
      <t>[your name here]</t>
    </r>
  </si>
  <si>
    <t>Total (sevs. 3 &amp; 4)</t>
  </si>
  <si>
    <t>Total (all sevs)</t>
  </si>
  <si>
    <r>
      <rPr>
        <rFont val="Arial"/>
        <b/>
        <color theme="1"/>
      </rPr>
      <t xml:space="preserve">Summary Recommendations </t>
    </r>
    <r>
      <rPr>
        <rFont val="Arial"/>
        <b val="0"/>
        <i/>
        <color theme="1"/>
      </rPr>
      <t>[merge the general recommendations you made here]</t>
    </r>
  </si>
  <si>
    <t>Timelock has an incredible aesthetic, with sleek visuals and a clean, minimalistic design that aligns well with the values outlined in your presentation. However, several usability and navigation challenges need to be addressed, particularly for first-time users. The concept of a "timelock" and the associated flows (such as adding media, creating, and sharing timelocks) are novel but not immediately clear. We found it a bit difficult to understand the distinctions between tags and settings, as well as the outcomes of their actions.
Navigation across different tasks feels disjointed, especially when moving between past and future timelocks. We recommended providing a more cohesive way to access all timelocks and to improve the clarity of action flows. Implementing a walkthrough or first-time user manual could help users grasp the platform’s purpose and functionalities. Additionally, action items should be consistently designed; for example, inputs like text boxes or selection fields should be clearly differentiated from buttons to prevent confusion.
User privacy is another critical area to consider. Adding a confirmation step before finalizing uploads and clarifying privacy settings for sharing timelocks would enhance feelings of privacy and encourage sponteneity. Lastly, some UI elements, like the pill shaped buttons, were ambiguous in their function, as we couldn’t easily figure out whether they were toggles, dropdowns, or input fields. We feel that addressing these issues would ensure a more intuitive and user-friendly experience. Keep up the great work!!! :)</t>
  </si>
</sst>
</file>

<file path=xl/styles.xml><?xml version="1.0" encoding="utf-8"?>
<styleSheet xmlns="http://schemas.openxmlformats.org/spreadsheetml/2006/main" xmlns:x14ac="http://schemas.microsoft.com/office/spreadsheetml/2009/9/ac" xmlns:mc="http://schemas.openxmlformats.org/markup-compatibility/2006">
  <fonts count="23">
    <font>
      <sz val="10.0"/>
      <color rgb="FF000000"/>
      <name val="Arial"/>
      <scheme val="minor"/>
    </font>
    <font>
      <b/>
      <color theme="1"/>
      <name val="Arial"/>
      <scheme val="minor"/>
    </font>
    <font>
      <color theme="1"/>
      <name val="Arial"/>
      <scheme val="minor"/>
    </font>
    <font>
      <i/>
      <color theme="1"/>
      <name val="Arial"/>
      <scheme val="minor"/>
    </font>
    <font>
      <color rgb="FF434343"/>
      <name val="Roboto"/>
    </font>
    <font>
      <color rgb="FFFFCFC9"/>
      <name val="Roboto"/>
    </font>
    <font>
      <color rgb="FFB10202"/>
      <name val="Roboto"/>
    </font>
    <font>
      <color rgb="FF753800"/>
      <name val="Roboto"/>
    </font>
    <font>
      <u/>
      <color theme="1"/>
      <name val="Arial"/>
      <scheme val="minor"/>
    </font>
    <font>
      <color rgb="FF473821"/>
      <name val="Roboto"/>
    </font>
    <font>
      <u/>
      <color theme="1"/>
      <name val="Arial"/>
      <scheme val="minor"/>
    </font>
    <font>
      <u/>
      <color theme="1"/>
      <name val="Arial"/>
      <scheme val="minor"/>
    </font>
    <font>
      <u/>
      <color theme="1"/>
      <name val="Arial"/>
      <scheme val="minor"/>
    </font>
    <font>
      <u/>
      <color theme="1"/>
      <name val="Arial"/>
      <scheme val="minor"/>
    </font>
    <font>
      <color rgb="FF0A53A8"/>
      <name val="Roboto"/>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font>
      <i/>
      <color theme="1"/>
      <name val="Arial"/>
    </font>
    <font>
      <color rgb="FF000000"/>
      <name val="Arial"/>
    </font>
  </fonts>
  <fills count="12">
    <fill>
      <patternFill patternType="none"/>
    </fill>
    <fill>
      <patternFill patternType="lightGray"/>
    </fill>
    <fill>
      <patternFill patternType="solid">
        <fgColor rgb="FFF3F3F3"/>
        <bgColor rgb="FFF3F3F3"/>
      </patternFill>
    </fill>
    <fill>
      <patternFill patternType="solid">
        <fgColor rgb="FFFFFFFF"/>
        <bgColor rgb="FFFFFFFF"/>
      </patternFill>
    </fill>
    <fill>
      <patternFill patternType="solid">
        <fgColor rgb="FFEA9999"/>
        <bgColor rgb="FFEA9999"/>
      </patternFill>
    </fill>
    <fill>
      <patternFill patternType="solid">
        <fgColor rgb="FFF6F8F9"/>
        <bgColor rgb="FFF6F8F9"/>
      </patternFill>
    </fill>
    <fill>
      <patternFill patternType="solid">
        <fgColor rgb="FFFFF2CC"/>
        <bgColor rgb="FFFFF2CC"/>
      </patternFill>
    </fill>
    <fill>
      <patternFill patternType="solid">
        <fgColor rgb="FFB6D7A8"/>
        <bgColor rgb="FFB6D7A8"/>
      </patternFill>
    </fill>
    <fill>
      <patternFill patternType="solid">
        <fgColor rgb="FFFFE599"/>
        <bgColor rgb="FFFFE599"/>
      </patternFill>
    </fill>
    <fill>
      <patternFill patternType="solid">
        <fgColor rgb="FFF9CB9C"/>
        <bgColor rgb="FFF9CB9C"/>
      </patternFill>
    </fill>
    <fill>
      <patternFill patternType="solid">
        <fgColor rgb="FFF4CCCC"/>
        <bgColor rgb="FFF4CCCC"/>
      </patternFill>
    </fill>
    <fill>
      <patternFill patternType="solid">
        <fgColor rgb="FFEFEFEF"/>
        <bgColor rgb="FFEFEFEF"/>
      </patternFill>
    </fill>
  </fills>
  <borders count="27">
    <border/>
    <border>
      <left style="thin">
        <color rgb="FF442F65"/>
      </left>
      <right style="thin">
        <color rgb="FF5B3F86"/>
      </right>
      <top style="thin">
        <color rgb="FF442F65"/>
      </top>
      <bottom style="thin">
        <color rgb="FF442F65"/>
      </bottom>
    </border>
    <border>
      <left style="thin">
        <color rgb="FF5B3F86"/>
      </left>
      <right style="thin">
        <color rgb="FF5B3F86"/>
      </right>
      <top style="thin">
        <color rgb="FF442F65"/>
      </top>
      <bottom style="thin">
        <color rgb="FF442F65"/>
      </bottom>
    </border>
    <border>
      <left style="thin">
        <color rgb="FF5B3F86"/>
      </left>
      <right style="thin">
        <color rgb="FF442F65"/>
      </right>
      <top style="thin">
        <color rgb="FF442F65"/>
      </top>
      <bottom style="thin">
        <color rgb="FF442F65"/>
      </bottom>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EA9999"/>
      </left>
      <right style="thin">
        <color rgb="FFEA9999"/>
      </right>
      <top style="thin">
        <color rgb="FFEA9999"/>
      </top>
      <bottom style="thin">
        <color rgb="FFEA9999"/>
      </bottom>
    </border>
    <border>
      <left style="thin">
        <color rgb="FF442F65"/>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FFF2CC"/>
      </left>
      <right style="thin">
        <color rgb="FFFFF2CC"/>
      </right>
      <top style="thin">
        <color rgb="FFFFF2CC"/>
      </top>
      <bottom style="thin">
        <color rgb="FFFFF2CC"/>
      </bottom>
    </border>
    <border>
      <left style="thin">
        <color rgb="FFB6D7A8"/>
      </left>
      <right style="thin">
        <color rgb="FFB6D7A8"/>
      </right>
      <top style="thin">
        <color rgb="FFB6D7A8"/>
      </top>
      <bottom style="thin">
        <color rgb="FFB6D7A8"/>
      </bottom>
    </border>
    <border>
      <left style="thin">
        <color rgb="FFFFE599"/>
      </left>
      <right style="thin">
        <color rgb="FFFFE599"/>
      </right>
      <top style="thin">
        <color rgb="FFFFE599"/>
      </top>
      <bottom style="thin">
        <color rgb="FFFFE599"/>
      </bottom>
    </border>
    <border>
      <left style="thin">
        <color rgb="FFF9CB9C"/>
      </left>
      <right style="thin">
        <color rgb="FFF9CB9C"/>
      </right>
      <top style="thin">
        <color rgb="FFF9CB9C"/>
      </top>
      <bottom style="thin">
        <color rgb="FFF9CB9C"/>
      </bottom>
    </border>
    <border>
      <left style="thin">
        <color rgb="FFF4CCCC"/>
      </left>
      <right style="thin">
        <color rgb="FFF4CCCC"/>
      </right>
      <top style="thin">
        <color rgb="FFF4CCCC"/>
      </top>
      <bottom style="thin">
        <color rgb="FFF4CCCC"/>
      </bottom>
    </border>
    <border>
      <left style="thin">
        <color rgb="FF442F65"/>
      </left>
      <right style="thin">
        <color rgb="FFFFFFFF"/>
      </right>
      <top style="thin">
        <color rgb="FFFFFFFF"/>
      </top>
      <bottom style="thin">
        <color rgb="FF442F65"/>
      </bottom>
    </border>
    <border>
      <left style="thin">
        <color rgb="FFFFFFFF"/>
      </left>
      <right style="thin">
        <color rgb="FFFFFFFF"/>
      </right>
      <top style="thin">
        <color rgb="FFFFFFFF"/>
      </top>
      <bottom style="thin">
        <color rgb="FF442F65"/>
      </bottom>
    </border>
    <border>
      <left style="thin">
        <color rgb="FFFFFFFF"/>
      </left>
      <right style="thin">
        <color rgb="FF442F65"/>
      </right>
      <top style="thin">
        <color rgb="FFFFFFFF"/>
      </top>
      <bottom style="thin">
        <color rgb="FF442F65"/>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32">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horizontal="left" readingOrder="0" shrinkToFit="0" wrapText="1"/>
    </xf>
    <xf borderId="0" fillId="0" fontId="2" numFmtId="0" xfId="0" applyAlignment="1" applyFont="1">
      <alignment horizontal="left" readingOrder="0" shrinkToFit="0" wrapText="1"/>
    </xf>
    <xf borderId="0" fillId="0" fontId="2" numFmtId="0" xfId="0" applyAlignment="1" applyFont="1">
      <alignment shrinkToFit="0" wrapText="1"/>
    </xf>
    <xf borderId="0" fillId="0" fontId="3" numFmtId="0" xfId="0" applyAlignment="1" applyFont="1">
      <alignment horizontal="left" readingOrder="0" shrinkToFit="0" wrapText="1"/>
    </xf>
    <xf borderId="0" fillId="2" fontId="1" numFmtId="0" xfId="0" applyAlignment="1" applyFill="1" applyFont="1">
      <alignment horizontal="left" readingOrder="0" shrinkToFit="0" wrapText="1"/>
    </xf>
    <xf borderId="1" fillId="0" fontId="2" numFmtId="0" xfId="0" applyAlignment="1" applyBorder="1" applyFont="1">
      <alignment horizontal="left" readingOrder="0" shrinkToFit="0" vertical="center" wrapText="1"/>
    </xf>
    <xf borderId="2" fillId="0" fontId="2" numFmtId="0" xfId="0" applyAlignment="1" applyBorder="1" applyFont="1">
      <alignment horizontal="left" readingOrder="0" shrinkToFit="0" vertical="center" wrapText="1"/>
    </xf>
    <xf borderId="2" fillId="0" fontId="2" numFmtId="0" xfId="0" applyAlignment="1" applyBorder="1" applyFont="1">
      <alignment horizontal="left" readingOrder="0" shrinkToFit="0" vertical="center" wrapText="1"/>
    </xf>
    <xf borderId="3" fillId="0" fontId="2" numFmtId="0" xfId="0" applyAlignment="1" applyBorder="1" applyFont="1">
      <alignment horizontal="left" readingOrder="0" shrinkToFit="0" vertical="center" wrapText="1"/>
    </xf>
    <xf borderId="4" fillId="3" fontId="4" numFmtId="0" xfId="0" applyAlignment="1" applyBorder="1" applyFill="1" applyFont="1">
      <alignment horizontal="right" shrinkToFit="0" vertical="center" wrapText="0"/>
    </xf>
    <xf borderId="5" fillId="3" fontId="4" numFmtId="0" xfId="0" applyAlignment="1" applyBorder="1" applyFont="1">
      <alignment shrinkToFit="0" vertical="center" wrapText="0"/>
    </xf>
    <xf borderId="5" fillId="3" fontId="5" numFmtId="0" xfId="0" applyAlignment="1" applyBorder="1" applyFont="1">
      <alignment horizontal="right" shrinkToFit="0" vertical="center" wrapText="0"/>
    </xf>
    <xf borderId="5" fillId="3" fontId="4" numFmtId="49" xfId="0" applyAlignment="1" applyBorder="1" applyFont="1" applyNumberFormat="1">
      <alignment readingOrder="0" shrinkToFit="0" vertical="center" wrapText="1"/>
    </xf>
    <xf borderId="5" fillId="3" fontId="4" numFmtId="0" xfId="0" applyAlignment="1" applyBorder="1" applyFont="1">
      <alignment shrinkToFit="0" vertical="center" wrapText="1"/>
    </xf>
    <xf borderId="6" fillId="3" fontId="4" numFmtId="0" xfId="0" applyAlignment="1" applyBorder="1" applyFont="1">
      <alignment shrinkToFit="0" vertical="center" wrapText="1"/>
    </xf>
    <xf borderId="5" fillId="0" fontId="2" numFmtId="0" xfId="0" applyAlignment="1" applyBorder="1" applyFont="1">
      <alignment readingOrder="0" shrinkToFit="0" vertical="center" wrapText="0"/>
    </xf>
    <xf borderId="7" fillId="4" fontId="2" numFmtId="0" xfId="0" applyAlignment="1" applyBorder="1" applyFill="1" applyFont="1">
      <alignment readingOrder="0" shrinkToFit="0" vertical="center" wrapText="1"/>
    </xf>
    <xf borderId="6" fillId="4" fontId="2" numFmtId="0" xfId="0" applyAlignment="1" applyBorder="1" applyFont="1">
      <alignment readingOrder="0" shrinkToFit="0" vertical="center" wrapText="1"/>
    </xf>
    <xf borderId="8" fillId="3" fontId="4" numFmtId="0" xfId="0" applyAlignment="1" applyBorder="1" applyFont="1">
      <alignment horizontal="right" shrinkToFit="0" vertical="center" wrapText="0"/>
    </xf>
    <xf borderId="9" fillId="3" fontId="4" numFmtId="0" xfId="0" applyAlignment="1" applyBorder="1" applyFont="1">
      <alignment shrinkToFit="0" vertical="center" wrapText="0"/>
    </xf>
    <xf borderId="9" fillId="3" fontId="5" numFmtId="0" xfId="0" applyAlignment="1" applyBorder="1" applyFont="1">
      <alignment horizontal="right" shrinkToFit="0" vertical="center" wrapText="0"/>
    </xf>
    <xf borderId="9" fillId="3" fontId="4" numFmtId="49" xfId="0" applyAlignment="1" applyBorder="1" applyFont="1" applyNumberFormat="1">
      <alignment shrinkToFit="0" vertical="center" wrapText="1"/>
    </xf>
    <xf borderId="9" fillId="3" fontId="4" numFmtId="0" xfId="0" applyAlignment="1" applyBorder="1" applyFont="1">
      <alignment shrinkToFit="0" vertical="center" wrapText="1"/>
    </xf>
    <xf borderId="10" fillId="3" fontId="4" numFmtId="0" xfId="0" applyAlignment="1" applyBorder="1" applyFont="1">
      <alignment readingOrder="0" shrinkToFit="0" vertical="center" wrapText="1"/>
    </xf>
    <xf borderId="9" fillId="0" fontId="2" numFmtId="0" xfId="0" applyAlignment="1" applyBorder="1" applyFont="1">
      <alignment readingOrder="0" shrinkToFit="0" vertical="center" wrapText="0"/>
    </xf>
    <xf borderId="10" fillId="4" fontId="2" numFmtId="0" xfId="0" applyAlignment="1" applyBorder="1" applyFont="1">
      <alignment readingOrder="0" shrinkToFit="0" vertical="center" wrapText="1"/>
    </xf>
    <xf borderId="4" fillId="5" fontId="4" numFmtId="0" xfId="0" applyAlignment="1" applyBorder="1" applyFill="1" applyFont="1">
      <alignment horizontal="right" shrinkToFit="0" vertical="center" wrapText="0"/>
    </xf>
    <xf borderId="5" fillId="5" fontId="4" numFmtId="0" xfId="0" applyAlignment="1" applyBorder="1" applyFont="1">
      <alignment shrinkToFit="0" vertical="center" wrapText="0"/>
    </xf>
    <xf borderId="5" fillId="5" fontId="6" numFmtId="0" xfId="0" applyAlignment="1" applyBorder="1" applyFont="1">
      <alignment horizontal="right" readingOrder="0" shrinkToFit="0" vertical="center" wrapText="0"/>
    </xf>
    <xf borderId="5" fillId="5" fontId="4" numFmtId="49" xfId="0" applyAlignment="1" applyBorder="1" applyFont="1" applyNumberFormat="1">
      <alignment readingOrder="0" shrinkToFit="0" vertical="center" wrapText="1"/>
    </xf>
    <xf borderId="5" fillId="5" fontId="4" numFmtId="0" xfId="0" applyAlignment="1" applyBorder="1" applyFont="1">
      <alignment readingOrder="0" shrinkToFit="0" vertical="center" wrapText="1"/>
    </xf>
    <xf borderId="6" fillId="5" fontId="4" numFmtId="0" xfId="0" applyAlignment="1" applyBorder="1" applyFont="1">
      <alignment shrinkToFit="0" vertical="center" wrapText="1"/>
    </xf>
    <xf borderId="11" fillId="6" fontId="2" numFmtId="0" xfId="0" applyAlignment="1" applyBorder="1" applyFill="1" applyFont="1">
      <alignment readingOrder="0" shrinkToFit="0" vertical="center" wrapText="1"/>
    </xf>
    <xf borderId="6" fillId="7" fontId="2" numFmtId="0" xfId="0" applyAlignment="1" applyBorder="1" applyFill="1" applyFont="1">
      <alignment readingOrder="0" shrinkToFit="0" vertical="center" wrapText="1"/>
    </xf>
    <xf borderId="9" fillId="3" fontId="7" numFmtId="0" xfId="0" applyAlignment="1" applyBorder="1" applyFont="1">
      <alignment horizontal="right" readingOrder="0" shrinkToFit="0" vertical="center" wrapText="0"/>
    </xf>
    <xf borderId="9" fillId="3" fontId="4" numFmtId="49" xfId="0" applyAlignment="1" applyBorder="1" applyFont="1" applyNumberFormat="1">
      <alignment readingOrder="0" shrinkToFit="0" vertical="center" wrapText="1"/>
    </xf>
    <xf borderId="9" fillId="3" fontId="4" numFmtId="0" xfId="0" applyAlignment="1" applyBorder="1" applyFont="1">
      <alignment readingOrder="0" shrinkToFit="0" vertical="center" wrapText="1"/>
    </xf>
    <xf borderId="12" fillId="7" fontId="2" numFmtId="0" xfId="0" applyAlignment="1" applyBorder="1" applyFont="1">
      <alignment readingOrder="0" shrinkToFit="0" vertical="center" wrapText="1"/>
    </xf>
    <xf borderId="10" fillId="7" fontId="2" numFmtId="0" xfId="0" applyAlignment="1" applyBorder="1" applyFont="1">
      <alignment readingOrder="0" shrinkToFit="0" vertical="center" wrapText="1"/>
    </xf>
    <xf borderId="5" fillId="5" fontId="5" numFmtId="0" xfId="0" applyAlignment="1" applyBorder="1" applyFont="1">
      <alignment horizontal="right" shrinkToFit="0" vertical="center" wrapText="0"/>
    </xf>
    <xf borderId="10" fillId="3" fontId="4" numFmtId="0" xfId="0" applyAlignment="1" applyBorder="1" applyFont="1">
      <alignment shrinkToFit="0" vertical="center" wrapText="1"/>
    </xf>
    <xf borderId="5" fillId="5" fontId="6" numFmtId="0" xfId="0" applyAlignment="1" applyBorder="1" applyFont="1">
      <alignment horizontal="right" shrinkToFit="0" vertical="center" wrapText="0"/>
    </xf>
    <xf borderId="5" fillId="5" fontId="4" numFmtId="49" xfId="0" applyAlignment="1" applyBorder="1" applyFont="1" applyNumberFormat="1">
      <alignment shrinkToFit="0" vertical="center" wrapText="1"/>
    </xf>
    <xf borderId="5" fillId="5" fontId="4" numFmtId="0" xfId="0" applyAlignment="1" applyBorder="1" applyFont="1">
      <alignment shrinkToFit="0" vertical="center" wrapText="1"/>
    </xf>
    <xf borderId="13" fillId="8" fontId="2" numFmtId="0" xfId="0" applyAlignment="1" applyBorder="1" applyFill="1" applyFont="1">
      <alignment readingOrder="0" shrinkToFit="0" vertical="center" wrapText="1"/>
    </xf>
    <xf borderId="6" fillId="8" fontId="2" numFmtId="0" xfId="0" applyAlignment="1" applyBorder="1" applyFont="1">
      <alignment readingOrder="0" shrinkToFit="0" vertical="center" wrapText="1"/>
    </xf>
    <xf borderId="8" fillId="5" fontId="4" numFmtId="0" xfId="0" applyAlignment="1" applyBorder="1" applyFont="1">
      <alignment horizontal="right" shrinkToFit="0" vertical="center" wrapText="0"/>
    </xf>
    <xf borderId="9" fillId="5" fontId="4" numFmtId="0" xfId="0" applyAlignment="1" applyBorder="1" applyFont="1">
      <alignment shrinkToFit="0" vertical="center" wrapText="0"/>
    </xf>
    <xf borderId="9" fillId="5" fontId="6" numFmtId="0" xfId="0" applyAlignment="1" applyBorder="1" applyFont="1">
      <alignment horizontal="right" shrinkToFit="0" vertical="center" wrapText="0"/>
    </xf>
    <xf borderId="9" fillId="5" fontId="4" numFmtId="49" xfId="0" applyAlignment="1" applyBorder="1" applyFont="1" applyNumberFormat="1">
      <alignment readingOrder="0" shrinkToFit="0" vertical="center" wrapText="1"/>
    </xf>
    <xf borderId="9" fillId="5" fontId="4" numFmtId="0" xfId="0" applyAlignment="1" applyBorder="1" applyFont="1">
      <alignment readingOrder="0" shrinkToFit="0" vertical="center" wrapText="1"/>
    </xf>
    <xf borderId="10" fillId="5" fontId="4" numFmtId="0" xfId="0" applyAlignment="1" applyBorder="1" applyFont="1">
      <alignment readingOrder="0" shrinkToFit="0" vertical="center" wrapText="1"/>
    </xf>
    <xf borderId="5" fillId="3" fontId="6" numFmtId="0" xfId="0" applyAlignment="1" applyBorder="1" applyFont="1">
      <alignment horizontal="right" shrinkToFit="0" vertical="center" wrapText="0"/>
    </xf>
    <xf borderId="5" fillId="3" fontId="4" numFmtId="49" xfId="0" applyAlignment="1" applyBorder="1" applyFont="1" applyNumberFormat="1">
      <alignment shrinkToFit="0" vertical="center" wrapText="1"/>
    </xf>
    <xf borderId="6" fillId="3" fontId="4" numFmtId="0" xfId="0" applyAlignment="1" applyBorder="1" applyFont="1">
      <alignment readingOrder="0" shrinkToFit="0" vertical="center" wrapText="1"/>
    </xf>
    <xf borderId="12" fillId="7" fontId="8" numFmtId="0" xfId="0" applyAlignment="1" applyBorder="1" applyFont="1">
      <alignment readingOrder="0" shrinkToFit="0" vertical="center" wrapText="1"/>
    </xf>
    <xf borderId="9" fillId="3" fontId="6" numFmtId="0" xfId="0" applyAlignment="1" applyBorder="1" applyFont="1">
      <alignment horizontal="right" shrinkToFit="0" vertical="center" wrapText="0"/>
    </xf>
    <xf borderId="4" fillId="0" fontId="2" numFmtId="0" xfId="0" applyAlignment="1" applyBorder="1" applyFont="1">
      <alignment readingOrder="0" shrinkToFit="0" vertical="center" wrapText="0"/>
    </xf>
    <xf borderId="5" fillId="3" fontId="9" numFmtId="0" xfId="0" applyAlignment="1" applyBorder="1" applyFont="1">
      <alignment horizontal="right" readingOrder="0" shrinkToFit="0" vertical="center" wrapText="0"/>
    </xf>
    <xf borderId="9" fillId="3" fontId="4" numFmtId="0" xfId="0" applyAlignment="1" applyBorder="1" applyFont="1">
      <alignment shrinkToFit="0" vertical="center" wrapText="0"/>
    </xf>
    <xf borderId="9" fillId="3" fontId="7" numFmtId="0" xfId="0" applyAlignment="1" applyBorder="1" applyFont="1">
      <alignment horizontal="right" shrinkToFit="0" vertical="center" wrapText="0"/>
    </xf>
    <xf borderId="5" fillId="3" fontId="7" numFmtId="0" xfId="0" applyAlignment="1" applyBorder="1" applyFont="1">
      <alignment horizontal="right" shrinkToFit="0" vertical="center" wrapText="0"/>
    </xf>
    <xf borderId="6" fillId="7" fontId="2" numFmtId="0" xfId="0" applyAlignment="1" applyBorder="1" applyFont="1">
      <alignment readingOrder="0" shrinkToFit="0" vertical="center" wrapText="1"/>
    </xf>
    <xf borderId="9" fillId="5" fontId="7" numFmtId="0" xfId="0" applyAlignment="1" applyBorder="1" applyFont="1">
      <alignment horizontal="right" shrinkToFit="0" vertical="center" wrapText="0"/>
    </xf>
    <xf borderId="9" fillId="5" fontId="4" numFmtId="49" xfId="0" applyAlignment="1" applyBorder="1" applyFont="1" applyNumberFormat="1">
      <alignment shrinkToFit="0" vertical="center" wrapText="1"/>
    </xf>
    <xf borderId="9" fillId="5" fontId="4" numFmtId="0" xfId="0" applyAlignment="1" applyBorder="1" applyFont="1">
      <alignment shrinkToFit="0" vertical="center" wrapText="1"/>
    </xf>
    <xf borderId="10" fillId="5" fontId="4" numFmtId="0" xfId="0" applyAlignment="1" applyBorder="1" applyFont="1">
      <alignment shrinkToFit="0" vertical="center" wrapText="1"/>
    </xf>
    <xf borderId="5" fillId="3" fontId="7" numFmtId="0" xfId="0" applyAlignment="1" applyBorder="1" applyFont="1">
      <alignment horizontal="right" shrinkToFit="0" vertical="center" wrapText="0"/>
    </xf>
    <xf borderId="9" fillId="3" fontId="7" numFmtId="0" xfId="0" applyAlignment="1" applyBorder="1" applyFont="1">
      <alignment horizontal="right" shrinkToFit="0" vertical="center" wrapText="0"/>
    </xf>
    <xf borderId="5" fillId="5" fontId="7" numFmtId="0" xfId="0" applyAlignment="1" applyBorder="1" applyFont="1">
      <alignment horizontal="right" shrinkToFit="0" vertical="center" wrapText="0"/>
    </xf>
    <xf borderId="14" fillId="9" fontId="2" numFmtId="0" xfId="0" applyAlignment="1" applyBorder="1" applyFill="1" applyFont="1">
      <alignment readingOrder="0" shrinkToFit="0" vertical="center" wrapText="1"/>
    </xf>
    <xf borderId="6" fillId="9" fontId="2" numFmtId="0" xfId="0" applyAlignment="1" applyBorder="1" applyFont="1">
      <alignment readingOrder="0" shrinkToFit="0" vertical="center" wrapText="1"/>
    </xf>
    <xf borderId="10" fillId="9" fontId="2" numFmtId="0" xfId="0" applyAlignment="1" applyBorder="1" applyFont="1">
      <alignment readingOrder="0" shrinkToFit="0" vertical="center" wrapText="1"/>
    </xf>
    <xf borderId="14" fillId="9" fontId="10" numFmtId="0" xfId="0" applyAlignment="1" applyBorder="1" applyFont="1">
      <alignment readingOrder="0" shrinkToFit="0" vertical="center" wrapText="1"/>
    </xf>
    <xf borderId="8" fillId="0" fontId="2" numFmtId="0" xfId="0" applyAlignment="1" applyBorder="1" applyFont="1">
      <alignment readingOrder="0" shrinkToFit="0" vertical="center" wrapText="0"/>
    </xf>
    <xf borderId="5" fillId="3" fontId="4" numFmtId="0" xfId="0" applyAlignment="1" applyBorder="1" applyFont="1">
      <alignment readingOrder="0" shrinkToFit="0" vertical="center" wrapText="1"/>
    </xf>
    <xf borderId="9" fillId="0" fontId="11" numFmtId="0" xfId="0" applyAlignment="1" applyBorder="1" applyFont="1">
      <alignment readingOrder="0" shrinkToFit="0" vertical="center" wrapText="1"/>
    </xf>
    <xf borderId="10" fillId="0" fontId="2" numFmtId="0" xfId="0" applyAlignment="1" applyBorder="1" applyFont="1">
      <alignment readingOrder="0" shrinkToFit="0" vertical="center" wrapText="1"/>
    </xf>
    <xf borderId="9" fillId="5" fontId="9" numFmtId="0" xfId="0" applyAlignment="1" applyBorder="1" applyFont="1">
      <alignment horizontal="right" readingOrder="0" shrinkToFit="0" vertical="center" wrapText="0"/>
    </xf>
    <xf borderId="5" fillId="0" fontId="12" numFmtId="0" xfId="0" applyAlignment="1" applyBorder="1" applyFont="1">
      <alignment readingOrder="0" shrinkToFit="0" vertical="center" wrapText="1"/>
    </xf>
    <xf borderId="6" fillId="0" fontId="2" numFmtId="0" xfId="0" applyAlignment="1" applyBorder="1" applyFont="1">
      <alignment readingOrder="0" shrinkToFit="0" vertical="center" wrapText="1"/>
    </xf>
    <xf borderId="10" fillId="8" fontId="2" numFmtId="0" xfId="0" applyAlignment="1" applyBorder="1" applyFont="1">
      <alignment readingOrder="0" shrinkToFit="0" vertical="center" wrapText="1"/>
    </xf>
    <xf borderId="9" fillId="3" fontId="9" numFmtId="0" xfId="0" applyAlignment="1" applyBorder="1" applyFont="1">
      <alignment horizontal="right" shrinkToFit="0" vertical="center" wrapText="0"/>
    </xf>
    <xf borderId="13" fillId="8" fontId="13" numFmtId="0" xfId="0" applyAlignment="1" applyBorder="1" applyFont="1">
      <alignment readingOrder="0" shrinkToFit="0" vertical="center" wrapText="1"/>
    </xf>
    <xf borderId="5" fillId="5" fontId="9" numFmtId="0" xfId="0" applyAlignment="1" applyBorder="1" applyFont="1">
      <alignment horizontal="right" shrinkToFit="0" vertical="center" wrapText="0"/>
    </xf>
    <xf borderId="9" fillId="3" fontId="9" numFmtId="0" xfId="0" applyAlignment="1" applyBorder="1" applyFont="1">
      <alignment horizontal="right" shrinkToFit="0" vertical="center" wrapText="0"/>
    </xf>
    <xf borderId="5" fillId="5" fontId="9" numFmtId="0" xfId="0" applyAlignment="1" applyBorder="1" applyFont="1">
      <alignment horizontal="right" shrinkToFit="0" vertical="center" wrapText="0"/>
    </xf>
    <xf borderId="9" fillId="5" fontId="9" numFmtId="0" xfId="0" applyAlignment="1" applyBorder="1" applyFont="1">
      <alignment horizontal="right" shrinkToFit="0" vertical="center" wrapText="0"/>
    </xf>
    <xf borderId="15" fillId="10" fontId="2" numFmtId="0" xfId="0" applyAlignment="1" applyBorder="1" applyFill="1" applyFont="1">
      <alignment readingOrder="0" shrinkToFit="0" vertical="center" wrapText="1"/>
    </xf>
    <xf borderId="6" fillId="10" fontId="2" numFmtId="0" xfId="0" applyAlignment="1" applyBorder="1" applyFont="1">
      <alignment readingOrder="0" shrinkToFit="0" vertical="center" wrapText="1"/>
    </xf>
    <xf borderId="7" fillId="4" fontId="2" numFmtId="0" xfId="0" applyAlignment="1" applyBorder="1" applyFont="1">
      <alignment readingOrder="0" shrinkToFit="0" vertical="center" wrapText="1"/>
    </xf>
    <xf borderId="5" fillId="3" fontId="9" numFmtId="0" xfId="0" applyAlignment="1" applyBorder="1" applyFont="1">
      <alignment horizontal="right" shrinkToFit="0" vertical="center" wrapText="0"/>
    </xf>
    <xf borderId="9" fillId="0" fontId="2" numFmtId="0" xfId="0" applyAlignment="1" applyBorder="1" applyFont="1">
      <alignment readingOrder="0" shrinkToFit="0" vertical="center" wrapText="1"/>
    </xf>
    <xf borderId="9" fillId="5" fontId="14" numFmtId="0" xfId="0" applyAlignment="1" applyBorder="1" applyFont="1">
      <alignment horizontal="right" shrinkToFit="0" vertical="center" wrapText="0"/>
    </xf>
    <xf borderId="5" fillId="0" fontId="2" numFmtId="0" xfId="0" applyAlignment="1" applyBorder="1" applyFont="1">
      <alignment readingOrder="0" shrinkToFit="0" vertical="center" wrapText="1"/>
    </xf>
    <xf borderId="5" fillId="3" fontId="14" numFmtId="0" xfId="0" applyAlignment="1" applyBorder="1" applyFont="1">
      <alignment horizontal="right" shrinkToFit="0" vertical="center" wrapText="0"/>
    </xf>
    <xf borderId="5" fillId="5" fontId="9" numFmtId="0" xfId="0" applyAlignment="1" applyBorder="1" applyFont="1">
      <alignment horizontal="right" readingOrder="0" shrinkToFit="0" vertical="center" wrapText="0"/>
    </xf>
    <xf borderId="5" fillId="3" fontId="14" numFmtId="0" xfId="0" applyAlignment="1" applyBorder="1" applyFont="1">
      <alignment horizontal="right" shrinkToFit="0" vertical="center" wrapText="0"/>
    </xf>
    <xf borderId="16" fillId="0" fontId="2" numFmtId="0" xfId="0" applyAlignment="1" applyBorder="1" applyFont="1">
      <alignment readingOrder="0" shrinkToFit="0" vertical="center" wrapText="0"/>
    </xf>
    <xf borderId="9" fillId="3" fontId="14" numFmtId="0" xfId="0" applyAlignment="1" applyBorder="1" applyFont="1">
      <alignment horizontal="right" shrinkToFit="0" vertical="center" wrapText="0"/>
    </xf>
    <xf borderId="17" fillId="0" fontId="2" numFmtId="0" xfId="0" applyAlignment="1" applyBorder="1" applyFont="1">
      <alignment readingOrder="0" shrinkToFit="0" vertical="center" wrapText="0"/>
    </xf>
    <xf borderId="17" fillId="0" fontId="2" numFmtId="0" xfId="0" applyAlignment="1" applyBorder="1" applyFont="1">
      <alignment readingOrder="0" shrinkToFit="0" vertical="center" wrapText="1"/>
    </xf>
    <xf borderId="18" fillId="0" fontId="2" numFmtId="0" xfId="0" applyAlignment="1" applyBorder="1" applyFont="1">
      <alignment readingOrder="0" shrinkToFit="0" vertical="center" wrapText="1"/>
    </xf>
    <xf borderId="19" fillId="2" fontId="1" numFmtId="0" xfId="0" applyAlignment="1" applyBorder="1" applyFont="1">
      <alignment readingOrder="0"/>
    </xf>
    <xf borderId="20" fillId="2" fontId="15" numFmtId="0" xfId="0" applyAlignment="1" applyBorder="1" applyFont="1">
      <alignment horizontal="left" readingOrder="0" shrinkToFit="0" wrapText="1"/>
    </xf>
    <xf borderId="21" fillId="2" fontId="15" numFmtId="0" xfId="0" applyAlignment="1" applyBorder="1" applyFont="1">
      <alignment horizontal="left" readingOrder="0" shrinkToFit="0" wrapText="1"/>
    </xf>
    <xf borderId="0" fillId="0" fontId="1" numFmtId="0" xfId="0" applyAlignment="1" applyFont="1">
      <alignment readingOrder="0"/>
    </xf>
    <xf borderId="22" fillId="0" fontId="0" numFmtId="0" xfId="0" applyAlignment="1" applyBorder="1" applyFont="1">
      <alignment readingOrder="0"/>
    </xf>
    <xf borderId="0" fillId="0" fontId="16" numFmtId="0" xfId="0" applyFont="1"/>
    <xf borderId="0" fillId="3" fontId="17" numFmtId="0" xfId="0" applyFont="1"/>
    <xf borderId="23" fillId="0" fontId="16" numFmtId="0" xfId="0" applyBorder="1" applyFont="1"/>
    <xf borderId="22" fillId="0" fontId="0" numFmtId="0" xfId="0" applyAlignment="1" applyBorder="1" applyFont="1">
      <alignment horizontal="left" readingOrder="0" shrinkToFit="0" wrapText="1"/>
    </xf>
    <xf borderId="23" fillId="3" fontId="17" numFmtId="0" xfId="0" applyBorder="1" applyFont="1"/>
    <xf borderId="0" fillId="3" fontId="18" numFmtId="0" xfId="0" applyFont="1"/>
    <xf borderId="24" fillId="0" fontId="1" numFmtId="0" xfId="0" applyAlignment="1" applyBorder="1" applyFont="1">
      <alignment readingOrder="0"/>
    </xf>
    <xf borderId="25" fillId="0" fontId="16" numFmtId="0" xfId="0" applyBorder="1" applyFont="1"/>
    <xf borderId="26" fillId="0" fontId="16" numFmtId="0" xfId="0" applyBorder="1" applyFont="1"/>
    <xf borderId="0" fillId="0" fontId="19" numFmtId="0" xfId="0" applyAlignment="1" applyFont="1">
      <alignment vertical="bottom"/>
    </xf>
    <xf borderId="0" fillId="0" fontId="19" numFmtId="0" xfId="0" applyAlignment="1" applyFont="1">
      <alignment readingOrder="0" vertical="bottom"/>
    </xf>
    <xf borderId="0" fillId="0" fontId="3" numFmtId="0" xfId="0" applyAlignment="1" applyFont="1">
      <alignment horizontal="center" readingOrder="0"/>
    </xf>
    <xf borderId="0" fillId="2" fontId="1" numFmtId="0" xfId="0" applyAlignment="1" applyFont="1">
      <alignment horizontal="center" readingOrder="0"/>
    </xf>
    <xf borderId="0" fillId="0" fontId="2" numFmtId="0" xfId="0" applyAlignment="1" applyFont="1">
      <alignment readingOrder="0"/>
    </xf>
    <xf borderId="0" fillId="3" fontId="18" numFmtId="0" xfId="0" applyAlignment="1" applyFont="1">
      <alignment horizontal="left"/>
    </xf>
    <xf borderId="0" fillId="0" fontId="2" numFmtId="0" xfId="0" applyFont="1"/>
    <xf borderId="19" fillId="11" fontId="19" numFmtId="0" xfId="0" applyAlignment="1" applyBorder="1" applyFill="1" applyFont="1">
      <alignment readingOrder="0" vertical="bottom"/>
    </xf>
    <xf borderId="20" fillId="0" fontId="20" numFmtId="0" xfId="0" applyBorder="1" applyFont="1"/>
    <xf borderId="21" fillId="0" fontId="20" numFmtId="0" xfId="0" applyBorder="1" applyFont="1"/>
    <xf borderId="0" fillId="0" fontId="21" numFmtId="0" xfId="0" applyAlignment="1" applyFont="1">
      <alignment readingOrder="0" shrinkToFit="0" vertical="bottom" wrapText="1"/>
    </xf>
    <xf borderId="0" fillId="3" fontId="22" numFmtId="0" xfId="0" applyAlignment="1" applyFont="1">
      <alignment horizontal="left" readingOrder="0"/>
    </xf>
    <xf borderId="0" fillId="3" fontId="22" numFmtId="0" xfId="0" applyAlignment="1" applyFont="1">
      <alignment horizontal="left" readingOrder="0"/>
    </xf>
  </cellXfs>
  <cellStyles count="1">
    <cellStyle xfId="0" name="Normal" builtinId="0"/>
  </cellStyles>
  <dxfs count="4">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s>
  <tableStyles count="1">
    <tableStyle count="3" pivot="0" name="Group Heuristic Evaluation-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J59" displayName="Group_Heuristic_Evaluations" name="Group_Heuristic_Evaluations" id="1">
  <autoFilter ref="$A$10:$J$59"/>
  <tableColumns count="10">
    <tableColumn name="Problem #" id="1"/>
    <tableColumn name="Heuristic " id="2"/>
    <tableColumn name="Task" id="3"/>
    <tableColumn name="Severity" id="4"/>
    <tableColumn name="Description" id="5"/>
    <tableColumn name="Rationale" id="6"/>
    <tableColumn name="Fix" id="7"/>
    <tableColumn name="Found by" id="8"/>
    <tableColumn name="Column 1" id="9"/>
    <tableColumn name="Column 2" id="10"/>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mailto:slatessa@stanford.edu" TargetMode="External"/><Relationship Id="rId2" Type="http://schemas.openxmlformats.org/officeDocument/2006/relationships/hyperlink" Target="mailto:slatessa@stanford.edu" TargetMode="External"/><Relationship Id="rId3" Type="http://schemas.openxmlformats.org/officeDocument/2006/relationships/hyperlink" Target="mailto:slatessa@stanford.edu" TargetMode="External"/><Relationship Id="rId4" Type="http://schemas.openxmlformats.org/officeDocument/2006/relationships/hyperlink" Target="mailto:slatessa@stanford.edu" TargetMode="External"/><Relationship Id="rId11" Type="http://schemas.openxmlformats.org/officeDocument/2006/relationships/drawing" Target="../drawings/drawing1.xml"/><Relationship Id="rId10" Type="http://schemas.openxmlformats.org/officeDocument/2006/relationships/hyperlink" Target="mailto:slatessa@stanford.edu" TargetMode="External"/><Relationship Id="rId13" Type="http://schemas.openxmlformats.org/officeDocument/2006/relationships/table" Target="../tables/table1.xml"/><Relationship Id="rId9" Type="http://schemas.openxmlformats.org/officeDocument/2006/relationships/hyperlink" Target="mailto:slatessa@stanford.edu" TargetMode="External"/><Relationship Id="rId5" Type="http://schemas.openxmlformats.org/officeDocument/2006/relationships/hyperlink" Target="mailto:slatessa@stanford.edu" TargetMode="External"/><Relationship Id="rId6" Type="http://schemas.openxmlformats.org/officeDocument/2006/relationships/hyperlink" Target="mailto:slatessa@stanford.edu" TargetMode="External"/><Relationship Id="rId7" Type="http://schemas.openxmlformats.org/officeDocument/2006/relationships/hyperlink" Target="mailto:slatessa@stanford.edu" TargetMode="External"/><Relationship Id="rId8" Type="http://schemas.openxmlformats.org/officeDocument/2006/relationships/hyperlink" Target="mailto:slatessa@stanford.edu"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2.63" defaultRowHeight="15.75"/>
  <cols>
    <col customWidth="1" min="1" max="1" width="13.25"/>
    <col customWidth="1" min="2" max="2" width="30.13"/>
    <col customWidth="1" min="3" max="4" width="22.63"/>
    <col customWidth="1" min="5" max="5" width="38.13"/>
    <col customWidth="1" min="6" max="6" width="35.38"/>
    <col customWidth="1" min="7" max="7" width="38.38"/>
    <col customWidth="1" min="8" max="8" width="22.63"/>
    <col customWidth="1" min="9" max="9" width="40.88"/>
    <col customWidth="1" min="10" max="10" width="22.63"/>
    <col customWidth="1" min="11" max="11" width="15.13"/>
  </cols>
  <sheetData>
    <row r="1">
      <c r="A1" s="1" t="s">
        <v>0</v>
      </c>
      <c r="B1" s="2" t="s">
        <v>1</v>
      </c>
      <c r="F1" s="3"/>
      <c r="G1" s="3"/>
      <c r="I1" s="4"/>
    </row>
    <row r="2">
      <c r="A2" s="3"/>
      <c r="B2" s="3"/>
      <c r="C2" s="3"/>
      <c r="D2" s="3"/>
      <c r="E2" s="3"/>
      <c r="F2" s="3"/>
      <c r="G2" s="3"/>
      <c r="I2" s="4"/>
    </row>
    <row r="3">
      <c r="A3" s="3"/>
      <c r="B3" s="3"/>
      <c r="C3" s="3"/>
      <c r="D3" s="5" t="s">
        <v>2</v>
      </c>
      <c r="F3" s="3"/>
      <c r="G3" s="3"/>
      <c r="I3" s="4"/>
    </row>
    <row r="4">
      <c r="A4" s="6" t="s">
        <v>3</v>
      </c>
      <c r="B4" s="5" t="s">
        <v>4</v>
      </c>
      <c r="C4" s="5"/>
      <c r="D4" s="6" t="s">
        <v>5</v>
      </c>
      <c r="E4" s="5"/>
      <c r="F4" s="3"/>
      <c r="G4" s="3"/>
      <c r="I4" s="4"/>
    </row>
    <row r="5" ht="18.75" customHeight="1">
      <c r="A5" s="6" t="s">
        <v>6</v>
      </c>
      <c r="B5" s="5" t="s">
        <v>7</v>
      </c>
      <c r="C5" s="5"/>
      <c r="D5" s="6" t="s">
        <v>8</v>
      </c>
      <c r="E5" s="5"/>
      <c r="F5" s="3"/>
      <c r="G5" s="3"/>
      <c r="I5" s="4"/>
    </row>
    <row r="6" ht="20.25" customHeight="1">
      <c r="A6" s="6" t="s">
        <v>9</v>
      </c>
      <c r="B6" s="5" t="s">
        <v>10</v>
      </c>
      <c r="C6" s="5"/>
      <c r="D6" s="6" t="s">
        <v>11</v>
      </c>
      <c r="E6" s="5"/>
      <c r="F6" s="3"/>
      <c r="G6" s="3"/>
      <c r="I6" s="4"/>
    </row>
    <row r="7" ht="18.75" customHeight="1">
      <c r="A7" s="3"/>
      <c r="B7" s="3"/>
      <c r="C7" s="3"/>
      <c r="D7" s="6" t="s">
        <v>12</v>
      </c>
      <c r="E7" s="3"/>
      <c r="F7" s="3"/>
      <c r="G7" s="3"/>
      <c r="I7" s="4"/>
    </row>
    <row r="8" ht="6.0" customHeight="1">
      <c r="A8" s="3"/>
      <c r="B8" s="3"/>
      <c r="C8" s="3"/>
      <c r="D8" s="3"/>
      <c r="E8" s="3"/>
      <c r="F8" s="3"/>
      <c r="G8" s="3"/>
      <c r="I8" s="4"/>
    </row>
    <row r="9" ht="21.75" customHeight="1">
      <c r="A9" s="3"/>
      <c r="B9" s="3"/>
      <c r="C9" s="3"/>
      <c r="D9" s="3"/>
      <c r="E9" s="5" t="s">
        <v>13</v>
      </c>
      <c r="F9" s="3"/>
      <c r="G9" s="3"/>
      <c r="I9" s="4"/>
    </row>
    <row r="10">
      <c r="A10" s="7" t="s">
        <v>14</v>
      </c>
      <c r="B10" s="8" t="s">
        <v>15</v>
      </c>
      <c r="C10" s="8" t="s">
        <v>16</v>
      </c>
      <c r="D10" s="8" t="s">
        <v>17</v>
      </c>
      <c r="E10" s="8" t="s">
        <v>18</v>
      </c>
      <c r="F10" s="8" t="s">
        <v>19</v>
      </c>
      <c r="G10" s="8" t="s">
        <v>20</v>
      </c>
      <c r="H10" s="8" t="s">
        <v>21</v>
      </c>
      <c r="I10" s="9" t="s">
        <v>22</v>
      </c>
      <c r="J10" s="10" t="s">
        <v>23</v>
      </c>
    </row>
    <row r="11">
      <c r="A11" s="11">
        <f t="shared" ref="A11:A22" si="1">ROW() - 8</f>
        <v>3</v>
      </c>
      <c r="B11" s="12" t="s">
        <v>24</v>
      </c>
      <c r="C11" s="12" t="s">
        <v>25</v>
      </c>
      <c r="D11" s="13">
        <v>4.0</v>
      </c>
      <c r="E11" s="14" t="s">
        <v>26</v>
      </c>
      <c r="F11" s="15" t="s">
        <v>27</v>
      </c>
      <c r="G11" s="16" t="s">
        <v>28</v>
      </c>
      <c r="H11" s="17" t="s">
        <v>29</v>
      </c>
      <c r="I11" s="18" t="s">
        <v>30</v>
      </c>
      <c r="J11" s="19"/>
    </row>
    <row r="12">
      <c r="A12" s="20">
        <f t="shared" si="1"/>
        <v>4</v>
      </c>
      <c r="B12" s="21" t="s">
        <v>31</v>
      </c>
      <c r="C12" s="21" t="s">
        <v>25</v>
      </c>
      <c r="D12" s="22">
        <v>4.0</v>
      </c>
      <c r="E12" s="23" t="s">
        <v>32</v>
      </c>
      <c r="F12" s="24" t="s">
        <v>33</v>
      </c>
      <c r="G12" s="25" t="s">
        <v>34</v>
      </c>
      <c r="H12" s="26" t="s">
        <v>35</v>
      </c>
      <c r="I12" s="18" t="s">
        <v>36</v>
      </c>
      <c r="J12" s="27"/>
    </row>
    <row r="13">
      <c r="A13" s="28">
        <f t="shared" si="1"/>
        <v>5</v>
      </c>
      <c r="B13" s="29" t="s">
        <v>24</v>
      </c>
      <c r="C13" s="29" t="s">
        <v>25</v>
      </c>
      <c r="D13" s="30">
        <v>4.0</v>
      </c>
      <c r="E13" s="31" t="s">
        <v>37</v>
      </c>
      <c r="F13" s="32" t="s">
        <v>38</v>
      </c>
      <c r="G13" s="33" t="s">
        <v>39</v>
      </c>
      <c r="H13" s="17" t="s">
        <v>35</v>
      </c>
      <c r="I13" s="34" t="s">
        <v>40</v>
      </c>
      <c r="J13" s="35" t="s">
        <v>41</v>
      </c>
    </row>
    <row r="14">
      <c r="A14" s="20">
        <f t="shared" si="1"/>
        <v>6</v>
      </c>
      <c r="B14" s="21" t="s">
        <v>42</v>
      </c>
      <c r="C14" s="21" t="s">
        <v>43</v>
      </c>
      <c r="D14" s="36">
        <v>4.0</v>
      </c>
      <c r="E14" s="37" t="s">
        <v>44</v>
      </c>
      <c r="F14" s="38" t="s">
        <v>45</v>
      </c>
      <c r="G14" s="25" t="s">
        <v>46</v>
      </c>
      <c r="H14" s="26" t="s">
        <v>47</v>
      </c>
      <c r="I14" s="39" t="s">
        <v>48</v>
      </c>
      <c r="J14" s="40" t="s">
        <v>41</v>
      </c>
    </row>
    <row r="15">
      <c r="A15" s="28">
        <f t="shared" si="1"/>
        <v>7</v>
      </c>
      <c r="B15" s="29" t="s">
        <v>31</v>
      </c>
      <c r="C15" s="29" t="s">
        <v>49</v>
      </c>
      <c r="D15" s="41">
        <v>4.0</v>
      </c>
      <c r="E15" s="31" t="s">
        <v>50</v>
      </c>
      <c r="F15" s="32" t="s">
        <v>51</v>
      </c>
      <c r="G15" s="33" t="s">
        <v>52</v>
      </c>
      <c r="H15" s="17" t="s">
        <v>29</v>
      </c>
      <c r="I15" s="39" t="s">
        <v>53</v>
      </c>
      <c r="J15" s="35" t="s">
        <v>41</v>
      </c>
    </row>
    <row r="16">
      <c r="A16" s="20">
        <f t="shared" si="1"/>
        <v>8</v>
      </c>
      <c r="B16" s="21" t="s">
        <v>54</v>
      </c>
      <c r="C16" s="21" t="s">
        <v>49</v>
      </c>
      <c r="D16" s="22">
        <v>4.0</v>
      </c>
      <c r="E16" s="23" t="s">
        <v>55</v>
      </c>
      <c r="F16" s="24" t="s">
        <v>56</v>
      </c>
      <c r="G16" s="42" t="s">
        <v>57</v>
      </c>
      <c r="H16" s="26" t="s">
        <v>47</v>
      </c>
      <c r="I16" s="39" t="s">
        <v>58</v>
      </c>
      <c r="J16" s="40" t="s">
        <v>41</v>
      </c>
    </row>
    <row r="17">
      <c r="A17" s="28">
        <f t="shared" si="1"/>
        <v>9</v>
      </c>
      <c r="B17" s="29" t="s">
        <v>59</v>
      </c>
      <c r="C17" s="29" t="s">
        <v>60</v>
      </c>
      <c r="D17" s="43">
        <v>3.0</v>
      </c>
      <c r="E17" s="44" t="s">
        <v>61</v>
      </c>
      <c r="F17" s="45" t="s">
        <v>62</v>
      </c>
      <c r="G17" s="33" t="s">
        <v>63</v>
      </c>
      <c r="H17" s="17" t="s">
        <v>47</v>
      </c>
      <c r="I17" s="46" t="s">
        <v>64</v>
      </c>
      <c r="J17" s="47"/>
    </row>
    <row r="18">
      <c r="A18" s="48">
        <f t="shared" si="1"/>
        <v>10</v>
      </c>
      <c r="B18" s="49" t="s">
        <v>65</v>
      </c>
      <c r="C18" s="49" t="s">
        <v>25</v>
      </c>
      <c r="D18" s="50">
        <v>3.0</v>
      </c>
      <c r="E18" s="51" t="s">
        <v>66</v>
      </c>
      <c r="F18" s="52" t="s">
        <v>67</v>
      </c>
      <c r="G18" s="53" t="s">
        <v>68</v>
      </c>
      <c r="H18" s="26" t="s">
        <v>47</v>
      </c>
      <c r="I18" s="18" t="s">
        <v>69</v>
      </c>
      <c r="J18" s="27"/>
    </row>
    <row r="19">
      <c r="A19" s="11">
        <f t="shared" si="1"/>
        <v>11</v>
      </c>
      <c r="B19" s="12" t="s">
        <v>24</v>
      </c>
      <c r="C19" s="12" t="s">
        <v>25</v>
      </c>
      <c r="D19" s="54">
        <v>3.0</v>
      </c>
      <c r="E19" s="55" t="s">
        <v>70</v>
      </c>
      <c r="F19" s="15" t="s">
        <v>71</v>
      </c>
      <c r="G19" s="56" t="s">
        <v>72</v>
      </c>
      <c r="H19" s="17" t="s">
        <v>29</v>
      </c>
      <c r="I19" s="39" t="s">
        <v>73</v>
      </c>
      <c r="J19" s="35" t="s">
        <v>41</v>
      </c>
    </row>
    <row r="20">
      <c r="A20" s="20">
        <f t="shared" si="1"/>
        <v>12</v>
      </c>
      <c r="B20" s="21" t="s">
        <v>74</v>
      </c>
      <c r="C20" s="21" t="s">
        <v>43</v>
      </c>
      <c r="D20" s="36">
        <v>3.0</v>
      </c>
      <c r="E20" s="37" t="s">
        <v>75</v>
      </c>
      <c r="F20" s="38" t="s">
        <v>76</v>
      </c>
      <c r="G20" s="25" t="s">
        <v>77</v>
      </c>
      <c r="H20" s="26" t="s">
        <v>47</v>
      </c>
      <c r="I20" s="57" t="s">
        <v>78</v>
      </c>
      <c r="J20" s="40" t="s">
        <v>41</v>
      </c>
    </row>
    <row r="21">
      <c r="A21" s="11">
        <f t="shared" si="1"/>
        <v>13</v>
      </c>
      <c r="B21" s="12" t="s">
        <v>79</v>
      </c>
      <c r="C21" s="12" t="s">
        <v>43</v>
      </c>
      <c r="D21" s="54">
        <v>3.0</v>
      </c>
      <c r="E21" s="55" t="s">
        <v>80</v>
      </c>
      <c r="F21" s="15" t="s">
        <v>81</v>
      </c>
      <c r="G21" s="16" t="s">
        <v>82</v>
      </c>
      <c r="H21" s="17" t="s">
        <v>47</v>
      </c>
      <c r="I21" s="18" t="s">
        <v>83</v>
      </c>
      <c r="J21" s="19"/>
    </row>
    <row r="22">
      <c r="A22" s="20">
        <f t="shared" si="1"/>
        <v>14</v>
      </c>
      <c r="B22" s="21" t="s">
        <v>84</v>
      </c>
      <c r="C22" s="21" t="s">
        <v>49</v>
      </c>
      <c r="D22" s="58">
        <v>3.0</v>
      </c>
      <c r="E22" s="23" t="s">
        <v>85</v>
      </c>
      <c r="F22" s="24" t="s">
        <v>86</v>
      </c>
      <c r="G22" s="42" t="s">
        <v>87</v>
      </c>
      <c r="H22" s="26" t="s">
        <v>47</v>
      </c>
      <c r="I22" s="57" t="s">
        <v>88</v>
      </c>
      <c r="J22" s="40" t="s">
        <v>41</v>
      </c>
    </row>
    <row r="23">
      <c r="A23" s="59">
        <f>ROW() - 10</f>
        <v>13</v>
      </c>
      <c r="B23" s="12" t="s">
        <v>84</v>
      </c>
      <c r="C23" s="12" t="s">
        <v>49</v>
      </c>
      <c r="D23" s="60">
        <v>3.0</v>
      </c>
      <c r="E23" s="55" t="s">
        <v>89</v>
      </c>
      <c r="F23" s="15" t="s">
        <v>90</v>
      </c>
      <c r="G23" s="16" t="s">
        <v>91</v>
      </c>
      <c r="H23" s="17" t="s">
        <v>92</v>
      </c>
      <c r="I23" s="39" t="s">
        <v>93</v>
      </c>
      <c r="J23" s="35" t="s">
        <v>41</v>
      </c>
    </row>
    <row r="24">
      <c r="A24" s="20">
        <v>1.0</v>
      </c>
      <c r="B24" s="61" t="s">
        <v>74</v>
      </c>
      <c r="C24" s="21" t="s">
        <v>25</v>
      </c>
      <c r="D24" s="62">
        <v>2.0</v>
      </c>
      <c r="E24" s="37" t="s">
        <v>94</v>
      </c>
      <c r="F24" s="24" t="s">
        <v>95</v>
      </c>
      <c r="G24" s="42" t="s">
        <v>96</v>
      </c>
      <c r="H24" s="26" t="s">
        <v>97</v>
      </c>
      <c r="I24" s="18" t="s">
        <v>98</v>
      </c>
      <c r="J24" s="27"/>
    </row>
    <row r="25">
      <c r="A25" s="11">
        <f t="shared" ref="A25:A32" si="2">ROW() - 8</f>
        <v>17</v>
      </c>
      <c r="B25" s="12" t="s">
        <v>99</v>
      </c>
      <c r="C25" s="12" t="s">
        <v>100</v>
      </c>
      <c r="D25" s="63">
        <v>2.0</v>
      </c>
      <c r="E25" s="55" t="s">
        <v>101</v>
      </c>
      <c r="F25" s="15" t="s">
        <v>102</v>
      </c>
      <c r="G25" s="16" t="s">
        <v>103</v>
      </c>
      <c r="H25" s="17" t="s">
        <v>47</v>
      </c>
      <c r="I25" s="39" t="s">
        <v>104</v>
      </c>
      <c r="J25" s="64"/>
    </row>
    <row r="26">
      <c r="A26" s="48">
        <f t="shared" si="2"/>
        <v>18</v>
      </c>
      <c r="B26" s="49" t="s">
        <v>42</v>
      </c>
      <c r="C26" s="49" t="s">
        <v>25</v>
      </c>
      <c r="D26" s="65">
        <v>2.0</v>
      </c>
      <c r="E26" s="66" t="s">
        <v>105</v>
      </c>
      <c r="F26" s="67" t="s">
        <v>106</v>
      </c>
      <c r="G26" s="68" t="s">
        <v>107</v>
      </c>
      <c r="H26" s="26" t="s">
        <v>47</v>
      </c>
      <c r="I26" s="18" t="s">
        <v>108</v>
      </c>
      <c r="J26" s="27"/>
    </row>
    <row r="27">
      <c r="A27" s="11">
        <f t="shared" si="2"/>
        <v>19</v>
      </c>
      <c r="B27" s="12" t="s">
        <v>99</v>
      </c>
      <c r="C27" s="12" t="s">
        <v>43</v>
      </c>
      <c r="D27" s="69">
        <v>2.0</v>
      </c>
      <c r="E27" s="55" t="s">
        <v>109</v>
      </c>
      <c r="F27" s="15" t="s">
        <v>110</v>
      </c>
      <c r="G27" s="16" t="s">
        <v>111</v>
      </c>
      <c r="H27" s="17" t="s">
        <v>29</v>
      </c>
      <c r="I27" s="57" t="s">
        <v>112</v>
      </c>
      <c r="J27" s="64"/>
    </row>
    <row r="28">
      <c r="A28" s="20">
        <f t="shared" si="2"/>
        <v>20</v>
      </c>
      <c r="B28" s="21" t="s">
        <v>42</v>
      </c>
      <c r="C28" s="21" t="s">
        <v>43</v>
      </c>
      <c r="D28" s="70">
        <v>2.0</v>
      </c>
      <c r="E28" s="23" t="s">
        <v>113</v>
      </c>
      <c r="F28" s="24" t="s">
        <v>114</v>
      </c>
      <c r="G28" s="42" t="s">
        <v>115</v>
      </c>
      <c r="H28" s="26" t="s">
        <v>35</v>
      </c>
      <c r="I28" s="18" t="s">
        <v>116</v>
      </c>
      <c r="J28" s="27"/>
    </row>
    <row r="29">
      <c r="A29" s="28">
        <f t="shared" si="2"/>
        <v>21</v>
      </c>
      <c r="B29" s="29" t="s">
        <v>65</v>
      </c>
      <c r="C29" s="29" t="s">
        <v>43</v>
      </c>
      <c r="D29" s="71">
        <v>2.0</v>
      </c>
      <c r="E29" s="31" t="s">
        <v>117</v>
      </c>
      <c r="F29" s="45" t="s">
        <v>118</v>
      </c>
      <c r="G29" s="33" t="s">
        <v>119</v>
      </c>
      <c r="H29" s="17" t="s">
        <v>47</v>
      </c>
      <c r="I29" s="72" t="s">
        <v>120</v>
      </c>
      <c r="J29" s="73"/>
    </row>
    <row r="30">
      <c r="A30" s="28">
        <f t="shared" si="2"/>
        <v>22</v>
      </c>
      <c r="B30" s="29" t="s">
        <v>54</v>
      </c>
      <c r="C30" s="29" t="s">
        <v>49</v>
      </c>
      <c r="D30" s="71">
        <v>2.0</v>
      </c>
      <c r="E30" s="44" t="s">
        <v>121</v>
      </c>
      <c r="F30" s="45" t="s">
        <v>122</v>
      </c>
      <c r="G30" s="33" t="s">
        <v>123</v>
      </c>
      <c r="H30" s="26" t="s">
        <v>47</v>
      </c>
      <c r="I30" s="72" t="s">
        <v>124</v>
      </c>
      <c r="J30" s="74"/>
    </row>
    <row r="31">
      <c r="A31" s="20">
        <f t="shared" si="2"/>
        <v>23</v>
      </c>
      <c r="B31" s="21" t="s">
        <v>65</v>
      </c>
      <c r="C31" s="21" t="s">
        <v>49</v>
      </c>
      <c r="D31" s="70">
        <v>2.0</v>
      </c>
      <c r="E31" s="23" t="s">
        <v>125</v>
      </c>
      <c r="F31" s="24" t="s">
        <v>126</v>
      </c>
      <c r="G31" s="25" t="s">
        <v>127</v>
      </c>
      <c r="H31" s="17" t="s">
        <v>47</v>
      </c>
      <c r="I31" s="18" t="s">
        <v>128</v>
      </c>
      <c r="J31" s="19"/>
    </row>
    <row r="32">
      <c r="A32" s="28">
        <f t="shared" si="2"/>
        <v>24</v>
      </c>
      <c r="B32" s="29" t="s">
        <v>31</v>
      </c>
      <c r="C32" s="29" t="s">
        <v>49</v>
      </c>
      <c r="D32" s="71">
        <v>2.0</v>
      </c>
      <c r="E32" s="31" t="s">
        <v>129</v>
      </c>
      <c r="F32" s="45" t="s">
        <v>130</v>
      </c>
      <c r="G32" s="33" t="s">
        <v>131</v>
      </c>
      <c r="H32" s="26" t="s">
        <v>47</v>
      </c>
      <c r="I32" s="75" t="s">
        <v>132</v>
      </c>
      <c r="J32" s="74"/>
    </row>
    <row r="33">
      <c r="A33" s="76">
        <f t="shared" ref="A33:A35" si="3">ROW() - 10</f>
        <v>23</v>
      </c>
      <c r="B33" s="21" t="s">
        <v>24</v>
      </c>
      <c r="C33" s="21" t="s">
        <v>43</v>
      </c>
      <c r="D33" s="70">
        <v>2.0</v>
      </c>
      <c r="E33" s="23" t="s">
        <v>133</v>
      </c>
      <c r="F33" s="24" t="s">
        <v>134</v>
      </c>
      <c r="G33" s="42" t="s">
        <v>135</v>
      </c>
      <c r="H33" s="17" t="s">
        <v>92</v>
      </c>
      <c r="I33" s="18" t="s">
        <v>136</v>
      </c>
      <c r="J33" s="19"/>
    </row>
    <row r="34">
      <c r="A34" s="59">
        <f t="shared" si="3"/>
        <v>24</v>
      </c>
      <c r="B34" s="12" t="s">
        <v>99</v>
      </c>
      <c r="C34" s="12" t="s">
        <v>25</v>
      </c>
      <c r="D34" s="63">
        <v>2.0</v>
      </c>
      <c r="E34" s="14" t="s">
        <v>137</v>
      </c>
      <c r="F34" s="77" t="s">
        <v>138</v>
      </c>
      <c r="G34" s="56" t="s">
        <v>139</v>
      </c>
      <c r="H34" s="26" t="s">
        <v>140</v>
      </c>
      <c r="I34" s="78" t="s">
        <v>141</v>
      </c>
      <c r="J34" s="79"/>
    </row>
    <row r="35">
      <c r="A35" s="76">
        <f t="shared" si="3"/>
        <v>25</v>
      </c>
      <c r="B35" s="49" t="s">
        <v>74</v>
      </c>
      <c r="C35" s="49" t="s">
        <v>25</v>
      </c>
      <c r="D35" s="80">
        <v>2.0</v>
      </c>
      <c r="E35" s="66" t="s">
        <v>142</v>
      </c>
      <c r="F35" s="67" t="s">
        <v>143</v>
      </c>
      <c r="G35" s="68" t="s">
        <v>144</v>
      </c>
      <c r="H35" s="17" t="s">
        <v>140</v>
      </c>
      <c r="I35" s="81" t="s">
        <v>145</v>
      </c>
      <c r="J35" s="82"/>
    </row>
    <row r="36">
      <c r="A36" s="28">
        <f t="shared" ref="A36:A46" si="4">ROW() - 8</f>
        <v>28</v>
      </c>
      <c r="B36" s="29" t="s">
        <v>31</v>
      </c>
      <c r="C36" s="29" t="s">
        <v>25</v>
      </c>
      <c r="D36" s="30">
        <v>1.0</v>
      </c>
      <c r="E36" s="44" t="s">
        <v>146</v>
      </c>
      <c r="F36" s="45" t="s">
        <v>147</v>
      </c>
      <c r="G36" s="33" t="s">
        <v>148</v>
      </c>
      <c r="H36" s="26" t="s">
        <v>35</v>
      </c>
      <c r="I36" s="46" t="s">
        <v>149</v>
      </c>
      <c r="J36" s="83"/>
    </row>
    <row r="37">
      <c r="A37" s="20">
        <f t="shared" si="4"/>
        <v>29</v>
      </c>
      <c r="B37" s="21" t="s">
        <v>150</v>
      </c>
      <c r="C37" s="21" t="s">
        <v>25</v>
      </c>
      <c r="D37" s="84">
        <v>1.0</v>
      </c>
      <c r="E37" s="23" t="s">
        <v>151</v>
      </c>
      <c r="F37" s="24" t="s">
        <v>152</v>
      </c>
      <c r="G37" s="25" t="s">
        <v>153</v>
      </c>
      <c r="H37" s="17" t="s">
        <v>47</v>
      </c>
      <c r="I37" s="85" t="s">
        <v>154</v>
      </c>
      <c r="J37" s="47"/>
    </row>
    <row r="38">
      <c r="A38" s="28">
        <f t="shared" si="4"/>
        <v>30</v>
      </c>
      <c r="B38" s="29" t="s">
        <v>79</v>
      </c>
      <c r="C38" s="29" t="s">
        <v>25</v>
      </c>
      <c r="D38" s="86">
        <v>1.0</v>
      </c>
      <c r="E38" s="44" t="s">
        <v>155</v>
      </c>
      <c r="F38" s="45" t="s">
        <v>156</v>
      </c>
      <c r="G38" s="33" t="s">
        <v>157</v>
      </c>
      <c r="H38" s="26" t="s">
        <v>47</v>
      </c>
      <c r="I38" s="78" t="s">
        <v>158</v>
      </c>
      <c r="J38" s="79"/>
    </row>
    <row r="39">
      <c r="A39" s="20">
        <f t="shared" si="4"/>
        <v>31</v>
      </c>
      <c r="B39" s="21" t="s">
        <v>79</v>
      </c>
      <c r="C39" s="21" t="s">
        <v>25</v>
      </c>
      <c r="D39" s="87">
        <v>1.0</v>
      </c>
      <c r="E39" s="23" t="s">
        <v>159</v>
      </c>
      <c r="F39" s="24" t="s">
        <v>160</v>
      </c>
      <c r="G39" s="42" t="s">
        <v>161</v>
      </c>
      <c r="H39" s="17" t="s">
        <v>47</v>
      </c>
      <c r="I39" s="46" t="s">
        <v>162</v>
      </c>
      <c r="J39" s="47"/>
    </row>
    <row r="40">
      <c r="A40" s="28">
        <f t="shared" si="4"/>
        <v>32</v>
      </c>
      <c r="B40" s="29" t="s">
        <v>163</v>
      </c>
      <c r="C40" s="29" t="s">
        <v>25</v>
      </c>
      <c r="D40" s="88">
        <v>1.0</v>
      </c>
      <c r="E40" s="44" t="s">
        <v>164</v>
      </c>
      <c r="F40" s="45" t="s">
        <v>165</v>
      </c>
      <c r="G40" s="33" t="s">
        <v>166</v>
      </c>
      <c r="H40" s="26" t="s">
        <v>47</v>
      </c>
      <c r="I40" s="18" t="s">
        <v>167</v>
      </c>
      <c r="J40" s="27"/>
    </row>
    <row r="41">
      <c r="A41" s="48">
        <f t="shared" si="4"/>
        <v>33</v>
      </c>
      <c r="B41" s="49" t="s">
        <v>150</v>
      </c>
      <c r="C41" s="49" t="s">
        <v>43</v>
      </c>
      <c r="D41" s="89">
        <v>1.0</v>
      </c>
      <c r="E41" s="51" t="s">
        <v>168</v>
      </c>
      <c r="F41" s="67" t="s">
        <v>169</v>
      </c>
      <c r="G41" s="68" t="s">
        <v>170</v>
      </c>
      <c r="H41" s="17" t="s">
        <v>171</v>
      </c>
      <c r="I41" s="90" t="s">
        <v>172</v>
      </c>
      <c r="J41" s="91"/>
    </row>
    <row r="42">
      <c r="A42" s="28">
        <f t="shared" si="4"/>
        <v>34</v>
      </c>
      <c r="B42" s="29" t="s">
        <v>79</v>
      </c>
      <c r="C42" s="29" t="s">
        <v>43</v>
      </c>
      <c r="D42" s="88">
        <v>1.0</v>
      </c>
      <c r="E42" s="44" t="s">
        <v>173</v>
      </c>
      <c r="F42" s="45" t="s">
        <v>174</v>
      </c>
      <c r="G42" s="33" t="s">
        <v>175</v>
      </c>
      <c r="H42" s="26" t="s">
        <v>29</v>
      </c>
      <c r="I42" s="85" t="s">
        <v>176</v>
      </c>
      <c r="J42" s="83"/>
    </row>
    <row r="43">
      <c r="A43" s="28">
        <f t="shared" si="4"/>
        <v>35</v>
      </c>
      <c r="B43" s="49" t="s">
        <v>24</v>
      </c>
      <c r="C43" s="49" t="s">
        <v>43</v>
      </c>
      <c r="D43" s="89">
        <v>1.0</v>
      </c>
      <c r="E43" s="66" t="s">
        <v>177</v>
      </c>
      <c r="F43" s="67" t="s">
        <v>178</v>
      </c>
      <c r="G43" s="68" t="s">
        <v>179</v>
      </c>
      <c r="H43" s="17" t="s">
        <v>171</v>
      </c>
      <c r="I43" s="18" t="s">
        <v>180</v>
      </c>
      <c r="J43" s="19"/>
    </row>
    <row r="44">
      <c r="A44" s="20">
        <f t="shared" si="4"/>
        <v>36</v>
      </c>
      <c r="B44" s="21" t="s">
        <v>99</v>
      </c>
      <c r="C44" s="21" t="s">
        <v>43</v>
      </c>
      <c r="D44" s="87">
        <v>1.0</v>
      </c>
      <c r="E44" s="23" t="s">
        <v>181</v>
      </c>
      <c r="F44" s="24" t="s">
        <v>182</v>
      </c>
      <c r="G44" s="42" t="s">
        <v>183</v>
      </c>
      <c r="H44" s="26" t="s">
        <v>47</v>
      </c>
      <c r="I44" s="92"/>
      <c r="J44" s="27"/>
    </row>
    <row r="45">
      <c r="A45" s="11">
        <f t="shared" si="4"/>
        <v>37</v>
      </c>
      <c r="B45" s="21" t="s">
        <v>79</v>
      </c>
      <c r="C45" s="21" t="s">
        <v>49</v>
      </c>
      <c r="D45" s="87">
        <v>1.0</v>
      </c>
      <c r="E45" s="23" t="s">
        <v>184</v>
      </c>
      <c r="F45" s="24" t="s">
        <v>185</v>
      </c>
      <c r="G45" s="42" t="s">
        <v>186</v>
      </c>
      <c r="H45" s="17" t="s">
        <v>47</v>
      </c>
      <c r="I45" s="57" t="s">
        <v>187</v>
      </c>
      <c r="J45" s="64"/>
    </row>
    <row r="46">
      <c r="A46" s="48">
        <f t="shared" si="4"/>
        <v>38</v>
      </c>
      <c r="B46" s="29" t="s">
        <v>150</v>
      </c>
      <c r="C46" s="29" t="s">
        <v>49</v>
      </c>
      <c r="D46" s="88">
        <v>1.0</v>
      </c>
      <c r="E46" s="44" t="s">
        <v>188</v>
      </c>
      <c r="F46" s="45" t="s">
        <v>189</v>
      </c>
      <c r="G46" s="33" t="s">
        <v>190</v>
      </c>
      <c r="H46" s="26" t="s">
        <v>47</v>
      </c>
      <c r="I46" s="18"/>
      <c r="J46" s="27"/>
    </row>
    <row r="47">
      <c r="A47" s="59">
        <f t="shared" ref="A47:A59" si="5">ROW() - 10</f>
        <v>37</v>
      </c>
      <c r="B47" s="29" t="s">
        <v>59</v>
      </c>
      <c r="C47" s="29" t="s">
        <v>25</v>
      </c>
      <c r="D47" s="88">
        <v>1.0</v>
      </c>
      <c r="E47" s="44" t="s">
        <v>191</v>
      </c>
      <c r="F47" s="45" t="s">
        <v>192</v>
      </c>
      <c r="G47" s="33" t="s">
        <v>193</v>
      </c>
      <c r="H47" s="17" t="s">
        <v>194</v>
      </c>
      <c r="I47" s="46" t="s">
        <v>195</v>
      </c>
      <c r="J47" s="47"/>
    </row>
    <row r="48">
      <c r="A48" s="76">
        <f t="shared" si="5"/>
        <v>38</v>
      </c>
      <c r="B48" s="21" t="s">
        <v>163</v>
      </c>
      <c r="C48" s="21" t="s">
        <v>25</v>
      </c>
      <c r="D48" s="87">
        <v>1.0</v>
      </c>
      <c r="E48" s="23" t="s">
        <v>196</v>
      </c>
      <c r="F48" s="24" t="s">
        <v>197</v>
      </c>
      <c r="G48" s="42" t="s">
        <v>198</v>
      </c>
      <c r="H48" s="26" t="s">
        <v>194</v>
      </c>
      <c r="I48" s="18" t="s">
        <v>199</v>
      </c>
      <c r="J48" s="27"/>
    </row>
    <row r="49">
      <c r="A49" s="59">
        <f t="shared" si="5"/>
        <v>39</v>
      </c>
      <c r="B49" s="29" t="s">
        <v>99</v>
      </c>
      <c r="C49" s="29" t="s">
        <v>43</v>
      </c>
      <c r="D49" s="88">
        <v>1.0</v>
      </c>
      <c r="E49" s="44" t="s">
        <v>200</v>
      </c>
      <c r="F49" s="45" t="s">
        <v>201</v>
      </c>
      <c r="G49" s="33" t="s">
        <v>202</v>
      </c>
      <c r="H49" s="17" t="s">
        <v>92</v>
      </c>
      <c r="I49" s="46" t="s">
        <v>203</v>
      </c>
      <c r="J49" s="47"/>
    </row>
    <row r="50">
      <c r="A50" s="76">
        <f t="shared" si="5"/>
        <v>40</v>
      </c>
      <c r="B50" s="12" t="s">
        <v>42</v>
      </c>
      <c r="C50" s="12" t="s">
        <v>43</v>
      </c>
      <c r="D50" s="93">
        <v>1.0</v>
      </c>
      <c r="E50" s="55" t="s">
        <v>204</v>
      </c>
      <c r="F50" s="15" t="s">
        <v>205</v>
      </c>
      <c r="G50" s="16" t="s">
        <v>206</v>
      </c>
      <c r="H50" s="26" t="s">
        <v>194</v>
      </c>
      <c r="I50" s="92"/>
      <c r="J50" s="27"/>
    </row>
    <row r="51">
      <c r="A51" s="59">
        <f t="shared" si="5"/>
        <v>41</v>
      </c>
      <c r="B51" s="49" t="s">
        <v>31</v>
      </c>
      <c r="C51" s="49" t="s">
        <v>49</v>
      </c>
      <c r="D51" s="89">
        <v>1.0</v>
      </c>
      <c r="E51" s="66" t="s">
        <v>207</v>
      </c>
      <c r="F51" s="67" t="s">
        <v>208</v>
      </c>
      <c r="G51" s="68" t="s">
        <v>209</v>
      </c>
      <c r="H51" s="17" t="s">
        <v>194</v>
      </c>
      <c r="I51" s="39" t="s">
        <v>210</v>
      </c>
      <c r="J51" s="64"/>
    </row>
    <row r="52">
      <c r="A52" s="76">
        <f t="shared" si="5"/>
        <v>42</v>
      </c>
      <c r="B52" s="29" t="s">
        <v>99</v>
      </c>
      <c r="C52" s="29" t="s">
        <v>49</v>
      </c>
      <c r="D52" s="86">
        <v>1.0</v>
      </c>
      <c r="E52" s="44" t="s">
        <v>211</v>
      </c>
      <c r="F52" s="45" t="s">
        <v>212</v>
      </c>
      <c r="G52" s="33" t="s">
        <v>213</v>
      </c>
      <c r="H52" s="26" t="s">
        <v>140</v>
      </c>
      <c r="I52" s="94"/>
      <c r="J52" s="79"/>
    </row>
    <row r="53">
      <c r="A53" s="59">
        <f t="shared" si="5"/>
        <v>43</v>
      </c>
      <c r="B53" s="49" t="s">
        <v>150</v>
      </c>
      <c r="C53" s="49" t="s">
        <v>25</v>
      </c>
      <c r="D53" s="95">
        <v>0.0</v>
      </c>
      <c r="E53" s="66" t="s">
        <v>214</v>
      </c>
      <c r="F53" s="67" t="s">
        <v>215</v>
      </c>
      <c r="G53" s="68" t="s">
        <v>216</v>
      </c>
      <c r="H53" s="17" t="s">
        <v>194</v>
      </c>
      <c r="I53" s="96"/>
      <c r="J53" s="82"/>
    </row>
    <row r="54">
      <c r="A54" s="76">
        <f t="shared" si="5"/>
        <v>44</v>
      </c>
      <c r="B54" s="49" t="s">
        <v>99</v>
      </c>
      <c r="C54" s="49" t="s">
        <v>25</v>
      </c>
      <c r="D54" s="95">
        <v>0.0</v>
      </c>
      <c r="E54" s="66" t="s">
        <v>217</v>
      </c>
      <c r="F54" s="67" t="s">
        <v>218</v>
      </c>
      <c r="G54" s="68" t="s">
        <v>219</v>
      </c>
      <c r="H54" s="26" t="s">
        <v>194</v>
      </c>
      <c r="I54" s="94"/>
      <c r="J54" s="79"/>
    </row>
    <row r="55">
      <c r="A55" s="59">
        <f t="shared" si="5"/>
        <v>45</v>
      </c>
      <c r="B55" s="12" t="s">
        <v>65</v>
      </c>
      <c r="C55" s="12" t="s">
        <v>43</v>
      </c>
      <c r="D55" s="97">
        <v>0.0</v>
      </c>
      <c r="E55" s="55" t="s">
        <v>220</v>
      </c>
      <c r="F55" s="15" t="s">
        <v>221</v>
      </c>
      <c r="G55" s="16" t="s">
        <v>222</v>
      </c>
      <c r="H55" s="17" t="s">
        <v>194</v>
      </c>
      <c r="I55" s="96"/>
      <c r="J55" s="82"/>
    </row>
    <row r="56">
      <c r="A56" s="76">
        <f t="shared" si="5"/>
        <v>46</v>
      </c>
      <c r="B56" s="49" t="s">
        <v>59</v>
      </c>
      <c r="C56" s="49" t="s">
        <v>49</v>
      </c>
      <c r="D56" s="95">
        <v>0.0</v>
      </c>
      <c r="E56" s="66" t="s">
        <v>223</v>
      </c>
      <c r="F56" s="67" t="s">
        <v>224</v>
      </c>
      <c r="G56" s="68" t="s">
        <v>225</v>
      </c>
      <c r="H56" s="26" t="s">
        <v>194</v>
      </c>
      <c r="I56" s="94"/>
      <c r="J56" s="79"/>
    </row>
    <row r="57">
      <c r="A57" s="59">
        <f t="shared" si="5"/>
        <v>47</v>
      </c>
      <c r="B57" s="29" t="s">
        <v>42</v>
      </c>
      <c r="C57" s="29" t="s">
        <v>60</v>
      </c>
      <c r="D57" s="98">
        <v>0.0</v>
      </c>
      <c r="E57" s="44" t="s">
        <v>226</v>
      </c>
      <c r="F57" s="45" t="s">
        <v>227</v>
      </c>
      <c r="G57" s="33" t="s">
        <v>228</v>
      </c>
      <c r="H57" s="17" t="s">
        <v>194</v>
      </c>
      <c r="I57" s="96"/>
      <c r="J57" s="82"/>
    </row>
    <row r="58">
      <c r="A58" s="76">
        <f t="shared" si="5"/>
        <v>48</v>
      </c>
      <c r="B58" s="12" t="s">
        <v>31</v>
      </c>
      <c r="C58" s="12" t="s">
        <v>43</v>
      </c>
      <c r="D58" s="99">
        <v>0.0</v>
      </c>
      <c r="E58" s="55" t="s">
        <v>229</v>
      </c>
      <c r="F58" s="15" t="s">
        <v>230</v>
      </c>
      <c r="G58" s="56" t="s">
        <v>231</v>
      </c>
      <c r="H58" s="26" t="s">
        <v>140</v>
      </c>
      <c r="I58" s="94"/>
      <c r="J58" s="79"/>
    </row>
    <row r="59">
      <c r="A59" s="100">
        <f t="shared" si="5"/>
        <v>49</v>
      </c>
      <c r="B59" s="21" t="s">
        <v>74</v>
      </c>
      <c r="C59" s="21" t="s">
        <v>49</v>
      </c>
      <c r="D59" s="101">
        <v>0.0</v>
      </c>
      <c r="E59" s="23" t="s">
        <v>232</v>
      </c>
      <c r="F59" s="24" t="s">
        <v>233</v>
      </c>
      <c r="G59" s="42" t="s">
        <v>234</v>
      </c>
      <c r="H59" s="102" t="s">
        <v>140</v>
      </c>
      <c r="I59" s="103"/>
      <c r="J59" s="104"/>
    </row>
  </sheetData>
  <customSheetViews>
    <customSheetView guid="{CAEF7495-FEC4-4788-9F58-EB617F5C37DC}" filter="1" showAutoFilter="1">
      <autoFilter ref="$A$10:$J$59"/>
    </customSheetView>
    <customSheetView guid="{ECF3B328-DDB4-4FE2-8B14-F154FC68F65D}" filter="1" showAutoFilter="1">
      <autoFilter ref="$A$10:$J$59"/>
    </customSheetView>
  </customSheetViews>
  <mergeCells count="2">
    <mergeCell ref="B1:E1"/>
    <mergeCell ref="D3:E3"/>
  </mergeCells>
  <dataValidations>
    <dataValidation type="list" allowBlank="1" sqref="B11:B59">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59">
      <formula1>"0,1,2,3,4"</formula1>
    </dataValidation>
    <dataValidation type="list" allowBlank="1" sqref="H11:H59">
      <formula1>"A,B,C,D"</formula1>
    </dataValidation>
    <dataValidation type="list" allowBlank="1" sqref="C11:C59">
      <formula1>"1. Simple Task,2. Moderate Task,3. Complex Task,4. All Tasks,5. Extra Violations"</formula1>
    </dataValidation>
  </dataValidations>
  <hyperlinks>
    <hyperlink r:id="rId1" ref="I20"/>
    <hyperlink r:id="rId2" ref="I22"/>
    <hyperlink r:id="rId3" ref="I27"/>
    <hyperlink r:id="rId4" ref="I32"/>
    <hyperlink r:id="rId5" ref="I34"/>
    <hyperlink r:id="rId6" ref="I35"/>
    <hyperlink r:id="rId7" ref="I37"/>
    <hyperlink r:id="rId8" ref="I38"/>
    <hyperlink r:id="rId9" ref="I42"/>
    <hyperlink r:id="rId10" ref="I45"/>
  </hyperlinks>
  <drawing r:id="rId11"/>
  <tableParts count="1">
    <tablePart r:id="rId1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105" t="s">
        <v>235</v>
      </c>
      <c r="B1" s="106" t="s">
        <v>236</v>
      </c>
      <c r="C1" s="106" t="s">
        <v>237</v>
      </c>
      <c r="D1" s="106" t="s">
        <v>238</v>
      </c>
      <c r="E1" s="106" t="s">
        <v>239</v>
      </c>
      <c r="F1" s="106" t="s">
        <v>240</v>
      </c>
      <c r="G1" s="107" t="s">
        <v>241</v>
      </c>
      <c r="I1" s="108"/>
      <c r="J1" s="108"/>
      <c r="K1" s="108"/>
      <c r="L1" s="108"/>
    </row>
    <row r="2">
      <c r="A2" s="109" t="s">
        <v>74</v>
      </c>
      <c r="B2" s="110">
        <f>COUNTIFS('Group Heuristic Evaluation'!B:B, "H1: Visibility of System Status", 'Group Heuristic Evaluation'!D:D, 0)</f>
        <v>1</v>
      </c>
      <c r="C2" s="110">
        <f>COUNTIFS('Group Heuristic Evaluation'!B:B, "H1: Visibility of System Status", 'Group Heuristic Evaluation'!D:D, 1)</f>
        <v>0</v>
      </c>
      <c r="D2" s="111">
        <f>COUNTIFS('Group Heuristic Evaluation'!B:B, "H1: Visibility of System Status", 'Group Heuristic Evaluation'!D:D, 2)</f>
        <v>2</v>
      </c>
      <c r="E2" s="111">
        <f>COUNTIFS('Group Heuristic Evaluation'!B:B, "H1: Visibility of System Status", 'Group Heuristic Evaluation'!D:D, 3)</f>
        <v>1</v>
      </c>
      <c r="F2" s="111">
        <f>COUNTIFS('Group Heuristic Evaluation'!B:B, "H1: Visibility of System Status", 'Group Heuristic Evaluation'!D:D, 4)</f>
        <v>0</v>
      </c>
      <c r="G2" s="112">
        <f t="shared" ref="G2:G5" si="1">SUM(B2:F2)</f>
        <v>4</v>
      </c>
      <c r="I2" s="108"/>
      <c r="J2" s="108"/>
      <c r="K2" s="108"/>
      <c r="L2" s="108"/>
    </row>
    <row r="3">
      <c r="A3" s="113" t="s">
        <v>150</v>
      </c>
      <c r="B3" s="110">
        <f>COUNTIFS('Group Heuristic Evaluation'!B:B, "H2: Match b/w System &amp; World", 'Group Heuristic Evaluation'!D:D, 0)</f>
        <v>1</v>
      </c>
      <c r="C3" s="111">
        <f>COUNTIFS('Group Heuristic Evaluation'!B:B, "H2: Match b/w System &amp; World", 'Group Heuristic Evaluation'!D:D, 1)</f>
        <v>3</v>
      </c>
      <c r="D3" s="111">
        <f>COUNTIFS('Group Heuristic Evaluation'!B:B, "H2: Match b/w System &amp; World", 'Group Heuristic Evaluation'!D:D, 2)</f>
        <v>0</v>
      </c>
      <c r="E3" s="111">
        <f>COUNTIFS('Group Heuristic Evaluation'!B:B, "H2: Match b/w System &amp; World", 'Group Heuristic Evaluation'!D:D, 3)</f>
        <v>0</v>
      </c>
      <c r="F3" s="111">
        <f>COUNTIFS('Group Heuristic Evaluation'!B:B, "H2: Match b/w System &amp; World", 'Group Heuristic Evaluation'!D:D, 4)</f>
        <v>0</v>
      </c>
      <c r="G3" s="114">
        <f t="shared" si="1"/>
        <v>4</v>
      </c>
      <c r="I3" s="108"/>
      <c r="J3" s="108"/>
      <c r="K3" s="108"/>
      <c r="L3" s="108"/>
    </row>
    <row r="4">
      <c r="A4" s="113" t="s">
        <v>31</v>
      </c>
      <c r="B4" s="110">
        <f>COUNTIFS('Group Heuristic Evaluation'!B:B, "H3: User Control &amp; Freedom", 'Group Heuristic Evaluation'!D:D, 0)</f>
        <v>1</v>
      </c>
      <c r="C4" s="111">
        <f>COUNTIFS('Group Heuristic Evaluation'!B:B, "H3: User Control &amp; Freedom", 'Group Heuristic Evaluation'!D:D, 1)</f>
        <v>2</v>
      </c>
      <c r="D4" s="111">
        <f>COUNTIFS('Group Heuristic Evaluation'!B:B, "H3: User Control &amp; Freedom", 'Group Heuristic Evaluation'!D:D, 2)</f>
        <v>1</v>
      </c>
      <c r="E4" s="111">
        <f>COUNTIFS('Group Heuristic Evaluation'!B:B, "H3: User Control &amp; Freedom", 'Group Heuristic Evaluation'!D:D, 3)</f>
        <v>0</v>
      </c>
      <c r="F4" s="111">
        <f>COUNTIFS('Group Heuristic Evaluation'!B:B, "H3: User Control &amp; Freedom", 'Group Heuristic Evaluation'!D:D, 4)</f>
        <v>2</v>
      </c>
      <c r="G4" s="114">
        <f t="shared" si="1"/>
        <v>6</v>
      </c>
      <c r="I4" s="108"/>
      <c r="J4" s="108"/>
      <c r="K4" s="108"/>
      <c r="L4" s="108"/>
    </row>
    <row r="5">
      <c r="A5" s="113" t="s">
        <v>79</v>
      </c>
      <c r="B5" s="110">
        <f>COUNTIFS('Group Heuristic Evaluation'!B:B, "H4: Consistency &amp; Standards", 'Group Heuristic Evaluation'!D:D, 0)</f>
        <v>0</v>
      </c>
      <c r="C5" s="111">
        <f>COUNTIFS('Group Heuristic Evaluation'!B:B, "H4: Consistency &amp; Standards", 'Group Heuristic Evaluation'!D:D, 1)</f>
        <v>4</v>
      </c>
      <c r="D5" s="111">
        <f>COUNTIFS('Group Heuristic Evaluation'!B:B, "H4: Consistency &amp; Standards", 'Group Heuristic Evaluation'!D:D, 2)</f>
        <v>0</v>
      </c>
      <c r="E5" s="111">
        <f>COUNTIFS('Group Heuristic Evaluation'!B:B, "H4: Consistency &amp; Standards", 'Group Heuristic Evaluation'!D:D, 3)</f>
        <v>1</v>
      </c>
      <c r="F5" s="111">
        <f>COUNTIFS('Group Heuristic Evaluation'!B:B, "H4: Consistency &amp; Standards", 'Group Heuristic Evaluation'!D:D, 4)</f>
        <v>0</v>
      </c>
      <c r="G5" s="114">
        <f t="shared" si="1"/>
        <v>5</v>
      </c>
      <c r="I5" s="108"/>
      <c r="J5" s="108"/>
      <c r="K5" s="108"/>
      <c r="L5" s="108"/>
    </row>
    <row r="6">
      <c r="A6" s="113" t="s">
        <v>24</v>
      </c>
      <c r="B6" s="110">
        <f>COUNTIFS('Group Heuristic Evaluation'!B:B, "H5: Error Prevention", 'Group Heuristic Evaluation'!D:D, 0)</f>
        <v>0</v>
      </c>
      <c r="C6" s="111">
        <f>COUNTIFS('Group Heuristic Evaluation'!B:B, "H5: Error Prevention", 'Group Heuristic Evaluation'!D:D, 1)</f>
        <v>1</v>
      </c>
      <c r="D6" s="111">
        <f>COUNTIFS('Group Heuristic Evaluation'!B:B, "H5: Error Prevention", 'Group Heuristic Evaluation'!D:D, 2)</f>
        <v>1</v>
      </c>
      <c r="E6" s="111">
        <f>COUNTIFS('Group Heuristic Evaluation'!B:B, "H5: Error Prevention", 'Group Heuristic Evaluation'!D:D, 3)</f>
        <v>1</v>
      </c>
      <c r="F6" s="111">
        <f>COUNTIFS('Group Heuristic Evaluation'!B:B, "H5: Error Prevention", 'Group Heuristic Evaluation'!D:D, 4)</f>
        <v>2</v>
      </c>
      <c r="G6" s="114">
        <f>SUM(C6:F6)</f>
        <v>5</v>
      </c>
      <c r="I6" s="108"/>
      <c r="J6" s="108"/>
      <c r="K6" s="108"/>
      <c r="L6" s="108"/>
    </row>
    <row r="7">
      <c r="A7" s="113" t="s">
        <v>99</v>
      </c>
      <c r="B7" s="110">
        <f>COUNTIFS('Group Heuristic Evaluation'!B:B, "H6: Recognition not Recall", 'Group Heuristic Evaluation'!D:D, 0)</f>
        <v>1</v>
      </c>
      <c r="C7" s="111">
        <f>COUNTIFS('Group Heuristic Evaluation'!B:B, "H6: Recognition not Recall", 'Group Heuristic Evaluation'!D:D, 1)</f>
        <v>3</v>
      </c>
      <c r="D7" s="111">
        <f>COUNTIFS('Group Heuristic Evaluation'!B:B, "H6: Recognition not Recall", 'Group Heuristic Evaluation'!D:D, 2)</f>
        <v>3</v>
      </c>
      <c r="E7" s="111">
        <f>COUNTIFS('Group Heuristic Evaluation'!B:B, "H6: Recognition not Recall", 'Group Heuristic Evaluation'!D:D, 3)</f>
        <v>0</v>
      </c>
      <c r="F7" s="111">
        <f>COUNTIFS('Group Heuristic Evaluation'!B:B, "H6: Recognition not Recall", 'Group Heuristic Evaluation'!D:D, 4)</f>
        <v>0</v>
      </c>
      <c r="G7" s="114">
        <f t="shared" ref="G7:G13" si="2">SUM(B7:F7)</f>
        <v>7</v>
      </c>
      <c r="I7" s="108"/>
      <c r="J7" s="108"/>
      <c r="K7" s="108"/>
      <c r="L7" s="108"/>
    </row>
    <row r="8">
      <c r="A8" s="113" t="s">
        <v>65</v>
      </c>
      <c r="B8" s="110">
        <f>COUNTIFS('Group Heuristic Evaluation'!B:B, "H7: Flexibility &amp; Efficiency of Use", 'Group Heuristic Evaluation'!D:D, 0)</f>
        <v>1</v>
      </c>
      <c r="C8" s="111">
        <f>COUNTIFS('Group Heuristic Evaluation'!B:B, "H7: Flexibility &amp; Efficiency of Use", 'Group Heuristic Evaluation'!D:D, 1)</f>
        <v>0</v>
      </c>
      <c r="D8" s="111">
        <f>COUNTIFS('Group Heuristic Evaluation'!B:B, "H7: Flexibility &amp; Efficiency of Use", 'Group Heuristic Evaluation'!D:D, 2)</f>
        <v>2</v>
      </c>
      <c r="E8" s="111">
        <f>COUNTIFS('Group Heuristic Evaluation'!B:B, "H7: Flexibility &amp; Efficiency of Use", 'Group Heuristic Evaluation'!D:D, 3)</f>
        <v>1</v>
      </c>
      <c r="F8" s="111">
        <f>COUNTIFS('Group Heuristic Evaluation'!B:B, "H7: Flexibility &amp; Efficiency of Use", 'Group Heuristic Evaluation'!D:D, 4)</f>
        <v>0</v>
      </c>
      <c r="G8" s="114">
        <f t="shared" si="2"/>
        <v>4</v>
      </c>
      <c r="I8" s="108"/>
      <c r="J8" s="108"/>
      <c r="K8" s="108"/>
      <c r="L8" s="108"/>
    </row>
    <row r="9">
      <c r="A9" s="113" t="s">
        <v>42</v>
      </c>
      <c r="B9" s="110">
        <f>COUNTIFS('Group Heuristic Evaluation'!B:B, "H8: Aesthetic &amp; Minimalist Design", 'Group Heuristic Evaluation'!D:D, 0)</f>
        <v>1</v>
      </c>
      <c r="C9" s="115">
        <f>COUNTIFS('Group Heuristic Evaluation'!B:B, "H8: Aesthetic &amp; Minimalist Design", 'Group Heuristic Evaluation'!D:D, 1)</f>
        <v>1</v>
      </c>
      <c r="D9" s="115">
        <f>COUNTIFS('Group Heuristic Evaluation'!B:B, "H8: Aesthetic &amp; Minimalist Design", 'Group Heuristic Evaluation'!D:D, 2)</f>
        <v>2</v>
      </c>
      <c r="E9" s="115">
        <f>COUNTIFS('Group Heuristic Evaluation'!B:B, "H8: Aesthetic &amp; Minimalist Design", 'Group Heuristic Evaluation'!D:D, 3)</f>
        <v>0</v>
      </c>
      <c r="F9" s="115">
        <f>COUNTIFS('Group Heuristic Evaluation'!B:B, "H8: Aesthetic &amp; Minimalist Design", 'Group Heuristic Evaluation'!D:D, 4)</f>
        <v>1</v>
      </c>
      <c r="G9" s="114">
        <f t="shared" si="2"/>
        <v>5</v>
      </c>
      <c r="I9" s="108"/>
      <c r="J9" s="108"/>
      <c r="K9" s="108"/>
      <c r="L9" s="108"/>
    </row>
    <row r="10">
      <c r="A10" s="113" t="s">
        <v>163</v>
      </c>
      <c r="B10" s="110">
        <f>COUNTIFS('Group Heuristic Evaluation'!B:B, "H9: Help Users with Errors", 'Group Heuristic Evaluation'!D:D, 0)</f>
        <v>0</v>
      </c>
      <c r="C10" s="115">
        <f>COUNTIFS('Group Heuristic Evaluation'!B:B, "H9: Help Users with Errors", 'Group Heuristic Evaluation'!D:D, 1)</f>
        <v>2</v>
      </c>
      <c r="D10" s="115">
        <f>COUNTIFS('Group Heuristic Evaluation'!B:B, "H9: Help Users with Errors", 'Group Heuristic Evaluation'!D:D, 2)</f>
        <v>0</v>
      </c>
      <c r="E10" s="115">
        <f>COUNTIFS('Group Heuristic Evaluation'!B:B, "H9: Help Users with Errors", 'Group Heuristic Evaluation'!D:D, 3)</f>
        <v>0</v>
      </c>
      <c r="F10" s="115">
        <f>COUNTIFS('Group Heuristic Evaluation'!B:B, "H9: Help Users with Errors", 'Group Heuristic Evaluation'!D:D, 4)</f>
        <v>0</v>
      </c>
      <c r="G10" s="114">
        <f t="shared" si="2"/>
        <v>2</v>
      </c>
      <c r="I10" s="108"/>
      <c r="J10" s="108"/>
      <c r="K10" s="108"/>
      <c r="L10" s="108"/>
    </row>
    <row r="11">
      <c r="A11" s="113" t="s">
        <v>59</v>
      </c>
      <c r="B11" s="110">
        <f>COUNTIFS('Group Heuristic Evaluation'!B:B, "H10: Help &amp; Documentation", 'Group Heuristic Evaluation'!D:D, 0)</f>
        <v>1</v>
      </c>
      <c r="C11" s="115">
        <f>COUNTIFS('Group Heuristic Evaluation'!B:B, "H10: Help &amp; Documentation", 'Group Heuristic Evaluation'!D:D, 1)</f>
        <v>1</v>
      </c>
      <c r="D11" s="115">
        <f>COUNTIFS('Group Heuristic Evaluation'!B:B, "H10: Help &amp; Documentation", 'Group Heuristic Evaluation'!D:D, 2)</f>
        <v>0</v>
      </c>
      <c r="E11" s="115">
        <f>COUNTIFS('Group Heuristic Evaluation'!B:B, "H10: Help &amp; Documentation", 'Group Heuristic Evaluation'!D:D, 3)</f>
        <v>1</v>
      </c>
      <c r="F11" s="115">
        <f>COUNTIFS('Group Heuristic Evaluation'!B:B, "H10: Help &amp; Documentation", 'Group Heuristic Evaluation'!D:D, 4)</f>
        <v>0</v>
      </c>
      <c r="G11" s="114">
        <f t="shared" si="2"/>
        <v>3</v>
      </c>
      <c r="I11" s="108"/>
      <c r="J11" s="108"/>
      <c r="K11" s="108"/>
      <c r="L11" s="108"/>
    </row>
    <row r="12">
      <c r="A12" s="113" t="s">
        <v>54</v>
      </c>
      <c r="B12" s="110">
        <f>COUNTIFS('Group Heuristic Evaluation'!B:B, "H11: Accessible Design", 'Group Heuristic Evaluation'!D:D, 0)</f>
        <v>0</v>
      </c>
      <c r="C12" s="115">
        <f>COUNTIFS('Group Heuristic Evaluation'!B:B, "H11: Accessible Design", 'Group Heuristic Evaluation'!D:D, 1)</f>
        <v>0</v>
      </c>
      <c r="D12" s="115">
        <f>COUNTIFS('Group Heuristic Evaluation'!B:B, "H11: Accessible Design", 'Group Heuristic Evaluation'!D:D, 2)</f>
        <v>1</v>
      </c>
      <c r="E12" s="115">
        <f>COUNTIFS('Group Heuristic Evaluation'!B:B, "H11: Accessible Design", 'Group Heuristic Evaluation'!D:D, 3)</f>
        <v>0</v>
      </c>
      <c r="F12" s="115">
        <f>COUNTIFS('Group Heuristic Evaluation'!B:B, "H11: Accessible Design", 'Group Heuristic Evaluation'!D:D, 4)</f>
        <v>1</v>
      </c>
      <c r="G12" s="114">
        <f t="shared" si="2"/>
        <v>2</v>
      </c>
      <c r="I12" s="108"/>
      <c r="J12" s="108"/>
      <c r="K12" s="108"/>
      <c r="L12" s="108"/>
    </row>
    <row r="13">
      <c r="A13" s="113" t="s">
        <v>242</v>
      </c>
      <c r="B13" s="110">
        <f>COUNTIFS('Group Heuristic Evaluation'!B:B, "H12: Value Alignment &amp; Inclusion", 'Group Heuristic Evaluation'!D:D, 0)</f>
        <v>0</v>
      </c>
      <c r="C13" s="115">
        <f>COUNTIFS('Group Heuristic Evaluation'!B:B, "H12: Value Alignment &amp; Inclusion", 'Group Heuristic Evaluation'!D:D, 1)</f>
        <v>0</v>
      </c>
      <c r="D13" s="115">
        <f>COUNTIFS('Group Heuristic Evaluation'!B:B, "H12: Value Alignment &amp; Inclusion", 'Group Heuristic Evaluation'!D:D, 2)</f>
        <v>0</v>
      </c>
      <c r="E13" s="115">
        <f>COUNTIFS('Group Heuristic Evaluation'!B:B, "H12: Value Alignment &amp; Inclusion", 'Group Heuristic Evaluation'!D:D, 3)</f>
        <v>2</v>
      </c>
      <c r="F13" s="115">
        <f>COUNTIFS('Group Heuristic Evaluation'!B:B, "H12: Value Alignment &amp; Inclusion", 'Group Heuristic Evaluation'!D:D, 4)</f>
        <v>0</v>
      </c>
      <c r="G13" s="114">
        <f t="shared" si="2"/>
        <v>2</v>
      </c>
      <c r="I13" s="108"/>
      <c r="J13" s="108"/>
      <c r="K13" s="108"/>
      <c r="L13" s="108"/>
    </row>
    <row r="14">
      <c r="A14" s="116" t="s">
        <v>243</v>
      </c>
      <c r="B14" s="117">
        <f>SUM(B2:B13)</f>
        <v>7</v>
      </c>
      <c r="C14" s="117">
        <f t="shared" ref="C14:D14" si="3">SUM(C1:C13)</f>
        <v>17</v>
      </c>
      <c r="D14" s="117">
        <f t="shared" si="3"/>
        <v>12</v>
      </c>
      <c r="E14" s="117">
        <f t="shared" ref="E14:G14" si="4">SUM(E2:E13)</f>
        <v>7</v>
      </c>
      <c r="F14" s="117">
        <f t="shared" si="4"/>
        <v>6</v>
      </c>
      <c r="G14" s="118">
        <f t="shared" si="4"/>
        <v>49</v>
      </c>
      <c r="I14" s="108"/>
      <c r="J14" s="108"/>
      <c r="K14" s="108"/>
      <c r="L14" s="108"/>
    </row>
    <row r="16">
      <c r="A16" s="119"/>
      <c r="B16" s="119"/>
      <c r="C16" s="119"/>
      <c r="D16" s="119"/>
      <c r="E16" s="119"/>
      <c r="F16" s="119"/>
      <c r="G16" s="119"/>
    </row>
    <row r="17">
      <c r="A17" s="119"/>
      <c r="B17" s="119"/>
      <c r="C17" s="119"/>
      <c r="D17" s="119"/>
      <c r="E17" s="119"/>
      <c r="F17" s="119"/>
      <c r="G17" s="119"/>
    </row>
    <row r="18">
      <c r="A18" s="119"/>
      <c r="B18" s="119"/>
      <c r="C18" s="119"/>
      <c r="D18" s="119"/>
      <c r="E18" s="119"/>
      <c r="F18" s="119"/>
      <c r="G18" s="119"/>
    </row>
    <row r="19">
      <c r="A19" s="119"/>
      <c r="B19" s="119"/>
      <c r="C19" s="119"/>
      <c r="D19" s="119"/>
      <c r="E19" s="119"/>
      <c r="F19" s="119"/>
      <c r="G19" s="119"/>
    </row>
    <row r="20">
      <c r="A20" s="119"/>
      <c r="B20" s="119"/>
      <c r="C20" s="119"/>
      <c r="D20" s="119"/>
      <c r="E20" s="119"/>
      <c r="F20" s="119"/>
      <c r="G20" s="119"/>
    </row>
    <row r="21">
      <c r="A21" s="119"/>
      <c r="B21" s="119"/>
      <c r="C21" s="119"/>
      <c r="D21" s="119"/>
      <c r="E21" s="119"/>
      <c r="F21" s="119"/>
      <c r="G21" s="119"/>
    </row>
    <row r="22">
      <c r="A22" s="119"/>
      <c r="B22" s="119"/>
      <c r="C22" s="119"/>
      <c r="D22" s="119"/>
      <c r="E22" s="119"/>
      <c r="F22" s="119"/>
      <c r="G22" s="119"/>
    </row>
    <row r="23">
      <c r="A23" s="119"/>
      <c r="B23" s="119"/>
      <c r="C23" s="119"/>
      <c r="D23" s="119"/>
      <c r="E23" s="119"/>
      <c r="F23" s="119"/>
      <c r="G23" s="119"/>
    </row>
    <row r="24">
      <c r="A24" s="119"/>
      <c r="B24" s="119"/>
      <c r="C24" s="119"/>
      <c r="D24" s="119"/>
      <c r="E24" s="119"/>
      <c r="F24" s="119"/>
      <c r="G24" s="119"/>
    </row>
    <row r="25">
      <c r="A25" s="119"/>
      <c r="B25" s="119"/>
      <c r="C25" s="119"/>
      <c r="D25" s="119"/>
      <c r="E25" s="119"/>
      <c r="F25" s="119"/>
      <c r="G25" s="119"/>
    </row>
    <row r="26">
      <c r="A26" s="119"/>
      <c r="B26" s="119"/>
      <c r="C26" s="119"/>
      <c r="D26" s="119"/>
      <c r="E26" s="119"/>
      <c r="F26" s="119"/>
      <c r="G26" s="119"/>
    </row>
    <row r="27">
      <c r="A27" s="119"/>
      <c r="B27" s="119"/>
      <c r="C27" s="119"/>
      <c r="D27" s="119"/>
      <c r="E27" s="119"/>
      <c r="F27" s="119"/>
      <c r="G27" s="119"/>
    </row>
    <row r="28">
      <c r="A28" s="119"/>
      <c r="B28" s="119"/>
      <c r="C28" s="119"/>
      <c r="D28" s="119"/>
      <c r="E28" s="119"/>
      <c r="F28" s="119"/>
      <c r="G28" s="119"/>
    </row>
    <row r="29">
      <c r="A29" s="119"/>
      <c r="B29" s="119"/>
      <c r="C29" s="119"/>
      <c r="D29" s="119"/>
      <c r="E29" s="119"/>
      <c r="F29" s="119"/>
      <c r="G29" s="119"/>
    </row>
    <row r="32">
      <c r="A32" s="120"/>
      <c r="B32" s="120"/>
      <c r="C32" s="120"/>
      <c r="D32" s="120"/>
      <c r="E32" s="120"/>
      <c r="F32" s="120"/>
      <c r="G32" s="120"/>
    </row>
    <row r="33">
      <c r="A33" s="120"/>
      <c r="B33" s="120"/>
      <c r="C33" s="120"/>
      <c r="D33" s="120"/>
      <c r="E33" s="120"/>
      <c r="F33" s="120"/>
      <c r="G33" s="120"/>
    </row>
    <row r="34">
      <c r="A34" s="120"/>
      <c r="B34" s="120"/>
      <c r="C34" s="120"/>
      <c r="D34" s="120"/>
      <c r="E34" s="120"/>
      <c r="F34" s="120"/>
      <c r="G34" s="120"/>
    </row>
    <row r="35">
      <c r="A35" s="120"/>
      <c r="B35" s="120"/>
      <c r="C35" s="120"/>
      <c r="D35" s="120"/>
      <c r="E35" s="120"/>
      <c r="F35" s="120"/>
      <c r="G35" s="120"/>
    </row>
    <row r="36">
      <c r="A36" s="120"/>
      <c r="B36" s="120"/>
      <c r="C36" s="120"/>
      <c r="D36" s="120"/>
      <c r="E36" s="120"/>
      <c r="F36" s="120"/>
      <c r="G36" s="120"/>
    </row>
    <row r="37">
      <c r="A37" s="120"/>
      <c r="B37" s="120"/>
      <c r="C37" s="120"/>
      <c r="D37" s="120"/>
      <c r="E37" s="120"/>
      <c r="F37" s="120"/>
      <c r="G37" s="120"/>
    </row>
    <row r="38">
      <c r="A38" s="120"/>
      <c r="B38" s="120"/>
      <c r="C38" s="120"/>
      <c r="D38" s="120"/>
      <c r="E38" s="120"/>
      <c r="F38" s="120"/>
      <c r="G38" s="120"/>
    </row>
    <row r="39">
      <c r="A39" s="120"/>
      <c r="B39" s="120"/>
      <c r="C39" s="120"/>
      <c r="D39" s="120"/>
      <c r="E39" s="120"/>
      <c r="F39" s="120"/>
      <c r="G39" s="120"/>
    </row>
    <row r="40">
      <c r="A40" s="120"/>
      <c r="B40" s="120"/>
      <c r="C40" s="120"/>
      <c r="D40" s="120"/>
      <c r="E40" s="120"/>
      <c r="F40" s="120"/>
      <c r="G40" s="120"/>
    </row>
    <row r="41">
      <c r="A41" s="120"/>
      <c r="B41" s="120"/>
      <c r="C41" s="120"/>
      <c r="D41" s="120"/>
      <c r="E41" s="120"/>
      <c r="F41" s="120"/>
      <c r="G41" s="120"/>
    </row>
    <row r="42">
      <c r="A42" s="120"/>
      <c r="B42" s="120"/>
      <c r="C42" s="120"/>
      <c r="D42" s="120"/>
      <c r="E42" s="120"/>
      <c r="F42" s="120"/>
      <c r="G42" s="120"/>
    </row>
    <row r="43">
      <c r="A43" s="120"/>
      <c r="B43" s="120"/>
      <c r="C43" s="120"/>
      <c r="D43" s="120"/>
      <c r="E43" s="120"/>
      <c r="F43" s="120"/>
      <c r="G43" s="120"/>
    </row>
    <row r="44">
      <c r="A44" s="120"/>
      <c r="B44" s="120"/>
      <c r="C44" s="120"/>
      <c r="D44" s="120"/>
      <c r="E44" s="120"/>
      <c r="F44" s="120"/>
      <c r="G44" s="120"/>
    </row>
    <row r="45">
      <c r="A45" s="120"/>
      <c r="B45" s="120"/>
      <c r="C45" s="120"/>
      <c r="D45" s="120"/>
      <c r="E45" s="120"/>
      <c r="F45" s="120"/>
      <c r="G45" s="120"/>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21" t="s">
        <v>244</v>
      </c>
    </row>
    <row r="2">
      <c r="A2" s="122" t="s">
        <v>17</v>
      </c>
      <c r="B2" s="122" t="s">
        <v>245</v>
      </c>
      <c r="C2" s="122" t="s">
        <v>246</v>
      </c>
      <c r="D2" s="122" t="s">
        <v>247</v>
      </c>
      <c r="E2" s="122" t="s">
        <v>248</v>
      </c>
    </row>
    <row r="3">
      <c r="A3" s="123">
        <v>0.0</v>
      </c>
      <c r="B3" s="115">
        <f>COUNTIFS('Group Heuristic Evaluation'!H:H, "*A*",'Group Heuristic Evaluation'!D:D, 0)/COUNTA('Group Heuristic Evaluation'!B:B)
</f>
        <v>0.03703703704</v>
      </c>
      <c r="C3" s="124">
        <f>COUNTIFS('Group Heuristic Evaluation'!H:H, "*B*",'Group Heuristic Evaluation'!D:D, 0)/COUNTA('Group Heuristic Evaluation'!B:B)</f>
        <v>0</v>
      </c>
      <c r="D3" s="115">
        <f>COUNTIFS('Group Heuristic Evaluation'!H:H, "*C*",'Group Heuristic Evaluation'!D:D, 0)/COUNTA('Group Heuristic Evaluation'!B:B)</f>
        <v>0.09259259259</v>
      </c>
      <c r="E3" s="115">
        <f>COUNTIFS('Group Heuristic Evaluation'!H:H, "*D*",'Group Heuristic Evaluation'!D:D, 0)/COUNTA('Group Heuristic Evaluation'!B:B)</f>
        <v>0</v>
      </c>
    </row>
    <row r="4">
      <c r="A4" s="123">
        <v>1.0</v>
      </c>
      <c r="B4" s="115">
        <f>COUNTIFS('Group Heuristic Evaluation'!H:H, "*A*",'Group Heuristic Evaluation'!D:D, 1)/COUNTA('Group Heuristic Evaluation'!B:B)
</f>
        <v>0.09259259259</v>
      </c>
      <c r="C4" s="124">
        <f>COUNTIFS('Group Heuristic Evaluation'!H:H, "*B*",'Group Heuristic Evaluation'!D:D, 1)/COUNTA('Group Heuristic Evaluation'!B:B)</f>
        <v>0.2037037037</v>
      </c>
      <c r="D4" s="115">
        <f>COUNTIFS('Group Heuristic Evaluation'!H:H, "*C*",'Group Heuristic Evaluation'!D:D, 1)/COUNTA('Group Heuristic Evaluation'!B:B)</f>
        <v>0.1481481481</v>
      </c>
      <c r="E4" s="115">
        <f>COUNTIFS('Group Heuristic Evaluation'!H:H, "*D*",'Group Heuristic Evaluation'!D:D, 1)/COUNTA('Group Heuristic Evaluation'!B:B)</f>
        <v>0</v>
      </c>
    </row>
    <row r="5">
      <c r="A5" s="123">
        <v>2.0</v>
      </c>
      <c r="B5" s="115">
        <f>COUNTIFS('Group Heuristic Evaluation'!H:H, "*A*",'Group Heuristic Evaluation'!D:D, 2)/COUNTA('Group Heuristic Evaluation'!B:B)
</f>
        <v>0.09259259259</v>
      </c>
      <c r="C5" s="124">
        <f>COUNTIFS('Group Heuristic Evaluation'!H:H, "*B*",'Group Heuristic Evaluation'!D:D, 2)/COUNTA('Group Heuristic Evaluation'!B:B)</f>
        <v>0.1666666667</v>
      </c>
      <c r="D5" s="115">
        <f>COUNTIFS('Group Heuristic Evaluation'!H:H, "*C*",'Group Heuristic Evaluation'!D:D, 2)/COUNTA('Group Heuristic Evaluation'!B:B)</f>
        <v>0.05555555556</v>
      </c>
      <c r="E5" s="115">
        <f>COUNTIFS('Group Heuristic Evaluation'!H:H, "*D*",'Group Heuristic Evaluation'!D:D, 2)/COUNTA('Group Heuristic Evaluation'!B:B)</f>
        <v>0</v>
      </c>
    </row>
    <row r="6">
      <c r="A6" s="123">
        <v>3.0</v>
      </c>
      <c r="B6" s="115">
        <f>COUNTIFS('Group Heuristic Evaluation'!H:H, "*A*",'Group Heuristic Evaluation'!D:D, 3)/COUNTA('Group Heuristic Evaluation'!B:B)
</f>
        <v>0.01851851852</v>
      </c>
      <c r="C6" s="124">
        <f>COUNTIFS('Group Heuristic Evaluation'!H:H, "*B*",'Group Heuristic Evaluation'!D:D, 3)/COUNTA('Group Heuristic Evaluation'!B:B)</f>
        <v>0.1111111111</v>
      </c>
      <c r="D6" s="115">
        <f>COUNTIFS('Group Heuristic Evaluation'!H:H, "*C*",'Group Heuristic Evaluation'!D:D, 3)/COUNTA('Group Heuristic Evaluation'!B:B)</f>
        <v>0.03703703704</v>
      </c>
      <c r="E6" s="115">
        <f>COUNTIFS('Group Heuristic Evaluation'!H:H, "*D*",'Group Heuristic Evaluation'!D:D, 3)/COUNTA('Group Heuristic Evaluation'!B:B)</f>
        <v>0</v>
      </c>
    </row>
    <row r="7">
      <c r="A7" s="123">
        <v>4.0</v>
      </c>
      <c r="B7" s="115">
        <f>COUNTIFS('Group Heuristic Evaluation'!H:H, "*A*",'Group Heuristic Evaluation'!D:D, 4)/COUNTA('Group Heuristic Evaluation'!B:B)
</f>
        <v>0.03703703704</v>
      </c>
      <c r="C7" s="124">
        <f>COUNTIFS('Group Heuristic Evaluation'!H:H, "*B*",'Group Heuristic Evaluation'!D:D, 4)/COUNTA('Group Heuristic Evaluation'!B:B)</f>
        <v>0.1111111111</v>
      </c>
      <c r="D7" s="115">
        <f>COUNTIFS('Group Heuristic Evaluation'!H:H, "*C*",'Group Heuristic Evaluation'!D:D, 4)/COUNTA('Group Heuristic Evaluation'!B:B)</f>
        <v>0.03703703704</v>
      </c>
      <c r="E7" s="115">
        <f>COUNTIFS('Group Heuristic Evaluation'!H:H, "*D*",'Group Heuristic Evaluation'!D:D, 4)/COUNTA('Group Heuristic Evaluation'!B:B)</f>
        <v>0</v>
      </c>
    </row>
    <row r="8">
      <c r="A8" s="108" t="s">
        <v>249</v>
      </c>
      <c r="B8" s="125">
        <f t="shared" ref="B8:E8" si="1">SUM(B6:B7)</f>
        <v>0.05555555556</v>
      </c>
      <c r="C8" s="125">
        <f t="shared" si="1"/>
        <v>0.2222222222</v>
      </c>
      <c r="D8" s="125">
        <f t="shared" si="1"/>
        <v>0.07407407407</v>
      </c>
      <c r="E8" s="125">
        <f t="shared" si="1"/>
        <v>0</v>
      </c>
    </row>
    <row r="9">
      <c r="A9" s="108" t="s">
        <v>250</v>
      </c>
      <c r="B9" s="125">
        <f t="shared" ref="B9:E9" si="2">SUM(B3:B7)</f>
        <v>0.2777777778</v>
      </c>
      <c r="C9" s="125">
        <f t="shared" si="2"/>
        <v>0.5925925926</v>
      </c>
      <c r="D9" s="125">
        <f t="shared" si="2"/>
        <v>0.3703703704</v>
      </c>
      <c r="E9" s="125">
        <f t="shared" si="2"/>
        <v>0</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sheetData>
    <row r="1">
      <c r="A1" s="126" t="s">
        <v>251</v>
      </c>
      <c r="B1" s="127"/>
      <c r="C1" s="127"/>
      <c r="D1" s="127"/>
      <c r="E1" s="127"/>
      <c r="F1" s="127"/>
      <c r="G1" s="128"/>
    </row>
    <row r="2">
      <c r="A2" s="129" t="s">
        <v>252</v>
      </c>
    </row>
    <row r="5">
      <c r="I5" s="123"/>
    </row>
    <row r="7">
      <c r="I7" s="130"/>
    </row>
    <row r="13">
      <c r="I13" s="131"/>
    </row>
  </sheetData>
  <mergeCells count="2">
    <mergeCell ref="A1:G1"/>
    <mergeCell ref="A2:G27"/>
  </mergeCells>
  <printOptions gridLines="1" horizontalCentered="1"/>
  <pageMargins bottom="0.75" footer="0.0" header="0.0" left="0.7" right="0.7" top="0.75"/>
  <pageSetup fitToHeight="0" cellComments="atEnd" orientation="landscape" pageOrder="overThenDown"/>
  <drawing r:id="rId1"/>
</worksheet>
</file>