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Evaluation'!$A$10:$J$46</definedName>
    <definedName hidden="1" localSheetId="0" name="Z_3C9F642B_C02F_4E11_8774_9344B2AAE67B_.wvu.FilterData">'Group Heuristic Evaluation'!$A$10:$J$46</definedName>
    <definedName hidden="1" localSheetId="0" name="Z_AB8D9E21_C8F0_4FAF_9C3D_192A3A13A71E_.wvu.FilterData">'Group Heuristic Evaluation'!$A$10:$J$46</definedName>
  </definedNames>
  <calcPr/>
  <customWorkbookViews>
    <customWorkbookView activeSheetId="0" maximized="1" windowHeight="0" windowWidth="0" guid="{3C9F642B-C02F-4E11-8774-9344B2AAE67B}" name="Group by Task "/>
    <customWorkbookView activeSheetId="0" maximized="1" windowHeight="0" windowWidth="0" guid="{AB8D9E21-C8F0-4FAF-9C3D-192A3A13A71E}" name="Group by Task"/>
  </customWorkbookViews>
</workbook>
</file>

<file path=xl/sharedStrings.xml><?xml version="1.0" encoding="utf-8"?>
<sst xmlns="http://schemas.openxmlformats.org/spreadsheetml/2006/main" count="285" uniqueCount="191">
  <si>
    <t xml:space="preserve">Prototype Description: </t>
  </si>
  <si>
    <t xml:space="preserve">HireReel is a platform where people can endorse eachother's professional skills by making video referals </t>
  </si>
  <si>
    <t xml:space="preserve">Your TA will remove your names before the document is given to the project team. Under the 'Found by' column, use these letters to identify yourselves </t>
  </si>
  <si>
    <t>Simple Task</t>
  </si>
  <si>
    <t>Ask a friend on the platform for a shared HireReel (referral)</t>
  </si>
  <si>
    <t>Evaluator A:</t>
  </si>
  <si>
    <t>Moderate Task</t>
  </si>
  <si>
    <t>Sharing a HireReel to a recruiter</t>
  </si>
  <si>
    <t>Evaluator B:</t>
  </si>
  <si>
    <t>Complex Task</t>
  </si>
  <si>
    <t>Viewing advanced analytics on your HireReels</t>
  </si>
  <si>
    <t>Evaluator C:</t>
  </si>
  <si>
    <t>Evaluator D:</t>
  </si>
  <si>
    <t>*attach images here if helpful</t>
  </si>
  <si>
    <t>Problem #</t>
  </si>
  <si>
    <t xml:space="preserve">Heuristic </t>
  </si>
  <si>
    <t>Task</t>
  </si>
  <si>
    <t>Severity</t>
  </si>
  <si>
    <t>Description</t>
  </si>
  <si>
    <t>Rationale</t>
  </si>
  <si>
    <t>Fix</t>
  </si>
  <si>
    <t>Found by</t>
  </si>
  <si>
    <t>Comments</t>
  </si>
  <si>
    <t>Column 1</t>
  </si>
  <si>
    <t>H6: Recognition not Recall</t>
  </si>
  <si>
    <t>1. Simple Task</t>
  </si>
  <si>
    <t>There is a + button in the Inbox page that elludes to being able to start a conversation and request a HireReel. However, the only way to request a HireReel is through the Network page.</t>
  </si>
  <si>
    <t>Users might intuitively try to press the + button to request a HireReel and would have to try to remember how to do it through the Network tab</t>
  </si>
  <si>
    <t>There should either not be a + button there, or the plus button should link to searching through the user's network</t>
  </si>
  <si>
    <t>B, D</t>
  </si>
  <si>
    <t>Are not going to implement inbox for now. Going to have a notifications tab on account instead to not confuse the user.</t>
  </si>
  <si>
    <t>H1: Visibility of System Status</t>
  </si>
  <si>
    <t>Requesting a HireReel does not result in any lasting feedback, only a toast</t>
  </si>
  <si>
    <t>Users might forget who they requested HireReels from</t>
  </si>
  <si>
    <t>There should be some lasting feedback or state change so that the users know who they have requested videos from</t>
  </si>
  <si>
    <t>B</t>
  </si>
  <si>
    <t>Make sure we know which connections we have already sent a hireReel request to in our network tab</t>
  </si>
  <si>
    <t>H2: Match b/w System &amp; World</t>
  </si>
  <si>
    <t>It is unclear whether Friends and Recruiters can overlap. Can you only sign up as a Recruiter or Employee, can you be both?</t>
  </si>
  <si>
    <t>Users might be confused if they want to both recruit and give HireReel</t>
  </si>
  <si>
    <t>Set up more rigid distinction</t>
  </si>
  <si>
    <t>They're seperate lmao</t>
  </si>
  <si>
    <t>H4: Consistency &amp; Standards</t>
  </si>
  <si>
    <t>Icons next to the Send Request button in the New Request window are tiny</t>
  </si>
  <si>
    <t>I can barely tell what these icons are supposed to be, and I'm not sure what the icon from the third to the right is supposed to do. Also very worried about fat-fingering an icon I don't intend to click on (though I know these aren't intended to be clickable in the prototype).</t>
  </si>
  <si>
    <t>Make icons larger, maybe make them hidden behind a drawer than could be opened/closed</t>
  </si>
  <si>
    <t>A</t>
  </si>
  <si>
    <t>That screen is geting removed. If added back for something we should remove those small button (bold, italic)</t>
  </si>
  <si>
    <t>H10: Help &amp; Documentation</t>
  </si>
  <si>
    <t>It is a bit unclear how the user should approach their request for referals and there is not information on the recipient in the drafting screen</t>
  </si>
  <si>
    <t>There is only a text box prompt here; it will be hard to define or remember what necessary information should be included in this message, from HireReel or otherwise</t>
  </si>
  <si>
    <t>Add a quick message at the top of the screen describing what the user should do ("Draft a message reaching out . . .") or add quickly linkable info from profile</t>
  </si>
  <si>
    <t>D</t>
  </si>
  <si>
    <t>We're removing that screen for now</t>
  </si>
  <si>
    <t>H5: Error Prevention</t>
  </si>
  <si>
    <t>2. Moderate Task</t>
  </si>
  <si>
    <t>The "Send My HireReel" button immediately send hire reel to the recruiter</t>
  </si>
  <si>
    <t xml:space="preserve">Users may accidentally click it, or click it expecting a Yes/No prompt or a place to add a message </t>
  </si>
  <si>
    <t>Add emergency exit to the task by adding an extra step to the button, and maybe including a place to add a message</t>
  </si>
  <si>
    <t>We'll add a confirmation prompt.</t>
  </si>
  <si>
    <t>H8: Aesthetic &amp; Minimalist Design</t>
  </si>
  <si>
    <t>Inconsistency in the formatting of the Friends and Recruiters tabs of Your Network</t>
  </si>
  <si>
    <t>Inconsistency is not aesthetically pleasing but it probably will not impact functionality</t>
  </si>
  <si>
    <t>Ensure consistency in the formatting of the Friends and Recruiters tabs</t>
  </si>
  <si>
    <t>Fix Friends/Recruiters toggle in network</t>
  </si>
  <si>
    <t>Pop-up for the HireReel sent notification disappears quickly</t>
  </si>
  <si>
    <t>First time I sent the HireReel I didn't read the entire notification before it disappeared</t>
  </si>
  <si>
    <t>Make notification last longer on the screen</t>
  </si>
  <si>
    <t>A, B</t>
  </si>
  <si>
    <t>When sending my HireReel to a recruiter, I did not understand what sending them my HireReel implied, and when it did send, it sent without giving me any recognizition as to what I just sent .</t>
  </si>
  <si>
    <t>Contacting a recruiter sounds like one of the more stressful or high impact activities I can do, and so I was a little cautious before pressing "Send My HIreReel" and curious as to what that was. I expected to see it or a prompt to come up when I hit the button but it just instantly sent and I became confused and nervous as to what I just sent to the recruiter</t>
  </si>
  <si>
    <t>Add an intermediary screen that has a draft of what it is I'm sending  OR a description at least</t>
  </si>
  <si>
    <t>make the send hireel to recruiter screen more intuitive; possibly bucket select which positions to apply for and allow user to select particular hirereels to send to recruiter</t>
  </si>
  <si>
    <t>3. Complex Task</t>
  </si>
  <si>
    <t>The icons of plays/likes/comments in the Analytics page are not consistent with the ones in the Home page</t>
  </si>
  <si>
    <t>Users may get confused if 2 icons are used to represent the same concept</t>
  </si>
  <si>
    <t>The same icons should be used in both the home page and the analytics page</t>
  </si>
  <si>
    <t>Fair</t>
  </si>
  <si>
    <t>H11: Accessible Design</t>
  </si>
  <si>
    <t>The Received page of Insights only includes pictures to represent the received videos</t>
  </si>
  <si>
    <t>Users who use screenreaders or who have vision impairements may not be able to use the analytics feature</t>
  </si>
  <si>
    <t>There should be other information included in the Received page other than just the video</t>
  </si>
  <si>
    <t>They don't know how a screen reader works.</t>
  </si>
  <si>
    <t>The analytics button is always visible</t>
  </si>
  <si>
    <t>If analytics are for power users, then they shouldn't be cluttering the screen of regular users</t>
  </si>
  <si>
    <t>Include analytics in the Profle section</t>
  </si>
  <si>
    <t>Not sure what "received", "delivered", and "account" refer to.</t>
  </si>
  <si>
    <t>I understand this is an analytics section, but it's unclear to me what each of these buttons refer to</t>
  </si>
  <si>
    <t>Increase clarity on this page... probably need descriptions or something additional to indicate what I'm clicking</t>
  </si>
  <si>
    <t>We'll move the insights tab to the profile account.
We'll have: HireReels received, HireReels Sent, and Profile Insights</t>
  </si>
  <si>
    <t>Unsure what I'm really looking at under the advanced insights header. To be honest I don't really understand what any of these metrics really are tracking.</t>
  </si>
  <si>
    <r>
      <rPr>
        <rFont val="Roboto"/>
        <color rgb="FF434343"/>
      </rPr>
      <t xml:space="preserve">It has to be super clear what these metrics are tracking. I guess I could come to some conclusions about what they're </t>
    </r>
    <r>
      <rPr>
        <rFont val="Roboto"/>
        <i/>
        <color rgb="FF434343"/>
      </rPr>
      <t xml:space="preserve">maybe </t>
    </r>
    <r>
      <rPr>
        <rFont val="Roboto"/>
        <color rgb="FF434343"/>
      </rPr>
      <t>tracking but I'm just not so sure. This is a core part of your app that I think needs to be a lot clearer</t>
    </r>
  </si>
  <si>
    <t>Add a description (maybe hidden behind a button) for each metric that you're tracking so users can understand what they're looking at</t>
  </si>
  <si>
    <t>D, A</t>
  </si>
  <si>
    <t>They don't seem to understand the instagram-like metrics (likes, views, shares, etc.) I think its pretty intuitive but we could add a description of the insights somewhere that explain what each metric calculates</t>
  </si>
  <si>
    <t>4. All Tasks</t>
  </si>
  <si>
    <t>The contrast of the colors/values chosen is very low</t>
  </si>
  <si>
    <t>Users who are colorblind or use color filters on their phones would not be able to use the app. This is especially noticable on screens that have filters (blue-light)</t>
  </si>
  <si>
    <t>Colors with more contrast should be  chosen for the design</t>
  </si>
  <si>
    <t>B, A</t>
  </si>
  <si>
    <t>Re-evaluate entire colour scheme; make sure it is visable to colour blind ppl</t>
  </si>
  <si>
    <t>Inconsistency in location for profile button placement</t>
  </si>
  <si>
    <t>Ensure location consistency of profile button (picture in top-right)</t>
  </si>
  <si>
    <t>N/A</t>
  </si>
  <si>
    <t>Fonts, font weights and font sizes are inconsistent throughout the app (example: the font for the number of likes, the fonts in the profile tab, the font weights in the profiles of friends)</t>
  </si>
  <si>
    <t>This is an aesthetic issue</t>
  </si>
  <si>
    <t>Ensure consistency between fonts and font weights</t>
  </si>
  <si>
    <t>B, D, C</t>
  </si>
  <si>
    <t>Navigation bar icons don't contrast well with the background. I would anticipate this contrast is even worse for those with color vision deficiency.</t>
  </si>
  <si>
    <t>The icons at the bottom are hard to distinguish against the background. At best, they aren't eye-catching, and I think they sorta should be.</t>
  </si>
  <si>
    <t>Make icons brighter (probably whiter) and change appearance when they're selected</t>
  </si>
  <si>
    <t>Expecting that, while looking at a HireReel sent to me (under the inbox tab), that clicking that inbox icon would return me to the inbox. A similar problem is present in some places in the network section, though it's not present throughout all subpages.</t>
  </si>
  <si>
    <t>This is something that from my understanding is pretty industry standard, so I would expect to see it in this app as well</t>
  </si>
  <si>
    <t>Make the selected icon clickable while navigating through its menus</t>
  </si>
  <si>
    <t>The usage of the word HireReel is a bit confusing, especially in terms of what it means to request or send a HireReel to a friend vs a recruiter</t>
  </si>
  <si>
    <t>In my "Inbox", I have been sent a "HireReel", which I can see is a video of someone endorsing me. In my "Networks" page, I can request a HireReel, meaning I'm probably requesting them to make a video endorsing me. However, on the recruiters on the "Networks" page, I can only "Send my HireReel", but does that mean I'm sending them a video of me endorsing them? When do I make this HireReel and send it or is it my HireReel profile?</t>
  </si>
  <si>
    <t>Be careful about when and how you're using the word HireReel to make it easy for the user to connect what process or abstraction it is representing. Change the wording on screens using HireReel as a noun to be more specific</t>
  </si>
  <si>
    <t>H12: Value Alignment &amp; Inclusion</t>
  </si>
  <si>
    <t>The people making up your problem domain are "early career applicants". The language and aesthetic you've built up aligns really well with career applicants and professionals in general, but not specifically the "early" or new career applicants</t>
  </si>
  <si>
    <t>The terminology and structure that is used throughout HireReel seems to best suit someone who already has a good understanding of professional culture and how to do that, but not particularly the 'early career applicant'. If they still constitute a big portion of your problem domain, then it might be good to design for them when thinking about how wording and visuals are reflecting the value alignment of HireReel</t>
  </si>
  <si>
    <t>It isn't urgent, but it might be interesting to see how you can use certain wording or visual design to help newer career applicants approach professionalism and interact with sending and recieving HireReels naturally.</t>
  </si>
  <si>
    <t>The most key element to your app is sending and recieving HireReels, which are videos. The key information from those videos that are relevant to the user should also be made accessible outside of pure video format</t>
  </si>
  <si>
    <t>For blind or deaf users, amongst others (colorblind, etc.), the experience of interacting with each reel is different than the typical user. On the main screen for interacting with recieved HIreReels, there exists the video and some insights (stats) on the video, but no textual or non-video representation of the info in the video itself. These users will not be able to use the app since reels are a core part of it</t>
  </si>
  <si>
    <t>Start thinking about how accessible design features will be represented for your HIreReels. For example, a clear fix would be to create transcripts for the videos and have them accessible on each reel</t>
  </si>
  <si>
    <t>5. Extra Violations</t>
  </si>
  <si>
    <t>The Friends/Recruiters toggle on the Your Network page changes the order of the items so that the selected one is always on the left</t>
  </si>
  <si>
    <t>Users may be confused or annoyed by the inconsistency</t>
  </si>
  <si>
    <t>Make the Friends/Recruiters toggle match the usual toggle standards of the items staying in the same place</t>
  </si>
  <si>
    <t>Only the Recruiters section of the Your Network page has search functionality</t>
  </si>
  <si>
    <t>Users may want search functionality in the Friends tab as well as the Recruiters tab</t>
  </si>
  <si>
    <t>Add search functionality and icon to Friends tab</t>
  </si>
  <si>
    <t>The bottom buttons are all visible before logging in or signing up</t>
  </si>
  <si>
    <t>Users may get annoyed or think they should be able to access those pages before onboarding</t>
  </si>
  <si>
    <t>The bottom buttons should only load after onboarding tasks are completed</t>
  </si>
  <si>
    <t>B, A, C</t>
  </si>
  <si>
    <t>H3: User Control &amp; Freedom</t>
  </si>
  <si>
    <t>Importing contacts is meant to be an optional step, but denying permission to access contacts takes the user back to the Import Contacts screen</t>
  </si>
  <si>
    <t>Users would feel forced to import contacts</t>
  </si>
  <si>
    <t>If this feature is meant to be optional, there should be a clear way to skip it</t>
  </si>
  <si>
    <t>Clicking on a message in the inbox does not result in any feedback that the message has now changed state/has been read</t>
  </si>
  <si>
    <t>Users might be confused about which messages they have viewed and responded to</t>
  </si>
  <si>
    <t>There should be a visible distinction between unread and read messages in the inbox</t>
  </si>
  <si>
    <t>B, C</t>
  </si>
  <si>
    <t>The profile option is read only</t>
  </si>
  <si>
    <t>Users would expect to be able to edit their profiles</t>
  </si>
  <si>
    <t>Provide a "Settings" button</t>
  </si>
  <si>
    <t>The + button in the bottom navigation panel is the same as the + button in the Inbox tab</t>
  </si>
  <si>
    <t>Users would be confused about the same button being used for 2 different purposes in 2 different locations, implying different actions</t>
  </si>
  <si>
    <t>Change one of the buttons, alternatively get rid of one of the buttons. Should be clear once you add functionality</t>
  </si>
  <si>
    <t>Once Sign Up is clicked, there is no way to go back to the first page and choose Log In</t>
  </si>
  <si>
    <t>Users might accidentally press on Sign Up and won't be able to get back to the Log In page</t>
  </si>
  <si>
    <t>There should be a back button, or a link at the bottom of the screen that says "Already signed up? Log in instead"</t>
  </si>
  <si>
    <t>Once "Import Contacts" is clicked and permissions are allowed, there is no way to continue without adding at least one contact</t>
  </si>
  <si>
    <t>Users might change their mind and should be able to bail on adding contacts at any step in the process</t>
  </si>
  <si>
    <t>Allow users to press the Next button without having added any contacts</t>
  </si>
  <si>
    <t>There's an "Enter a password" header, but not a username header.</t>
  </si>
  <si>
    <t>Not a serious problem, but users might do a double-take looking at this inconsistency</t>
  </si>
  <si>
    <t>Add username label</t>
  </si>
  <si>
    <t>Question: Would you like to import contacts? Potential Answers: Import Contacts, Back, Next</t>
  </si>
  <si>
    <t>I would expect to be pressing either yes/no to answer that question, not necessarily "next" to not import contacts</t>
  </si>
  <si>
    <t>Change available buttons to yes/no/back then switch to the corresponding window</t>
  </si>
  <si>
    <t>No way to sign out/return to first page</t>
  </si>
  <si>
    <t>I obviously wouldn't expect a typical user to sign out often, but the fact that the first few pages exist in your prototype does make me wonder if this is a more key piece of functionality than I think</t>
  </si>
  <si>
    <t>Add sign out button somewhere, maybe behind a dropdown or something</t>
  </si>
  <si>
    <t>"Your endorsers" is underlined in the profile screen</t>
  </si>
  <si>
    <t>No other headers in your app are underlined. From a consistency standpoint I think this is worth changing</t>
  </si>
  <si>
    <t>Remove underline</t>
  </si>
  <si>
    <t>When viewing a HIreReel that has been sent (going into "Hamilton Smith sent you a HireReel"), there is no clear navigation for the user on that screen or way to respond</t>
  </si>
  <si>
    <t>On the screen there is a video and a large chunk of white space with a small back button on the top. I was confused as to where to go from there or how to interact with the HIreReel video that I was "viewing"</t>
  </si>
  <si>
    <t>Add some interactability to the video or some buttons under the video, specifically in the middle of the white space to allow me to exit or interact with the video (and then exit), OR just get rid of the white space and make the "back" button bigger on this page to signal to the user that they are meant to just quickly exit after viewing the video</t>
  </si>
  <si>
    <t>D, B</t>
  </si>
  <si>
    <t>Heuristic</t>
  </si>
  <si>
    <t># Viol. (sev 0)</t>
  </si>
  <si>
    <t># Viol. (sev 1)</t>
  </si>
  <si>
    <t># Viol. (sev 2)</t>
  </si>
  <si>
    <t># Viol. (sev 3)</t>
  </si>
  <si>
    <t># Viol. (sev 4)</t>
  </si>
  <si>
    <t># Viol. (total)</t>
  </si>
  <si>
    <t>H7: Flexibility &amp; Efficiency of Use</t>
  </si>
  <si>
    <t>H9: Help Users with Errors</t>
  </si>
  <si>
    <t>H12. ​​Value Alignment &amp; Inclusion</t>
  </si>
  <si>
    <t>Total Violations</t>
  </si>
  <si>
    <t>* for this to calculate properly, delete any unused rows from your 'Group Heuristic Evaluation' chart!</t>
  </si>
  <si>
    <t xml:space="preserve">Evaluator A 
</t>
  </si>
  <si>
    <t xml:space="preserve">Evaluator B
</t>
  </si>
  <si>
    <t xml:space="preserve">Evaluator C 
</t>
  </si>
  <si>
    <t xml:space="preserve">Evaluator D 
</t>
  </si>
  <si>
    <t>Total (sevs. 3 &amp; 4)</t>
  </si>
  <si>
    <t>Total (all sevs)</t>
  </si>
  <si>
    <t xml:space="preserve">Summary Recommendations 
</t>
  </si>
  <si>
    <r>
      <rPr>
        <rFont val="Arial"/>
        <i/>
        <color theme="1"/>
      </rPr>
      <t xml:space="preserve">Overall we thought you guys did a good job on your app! We liked how it was laid out and organized and think the idea is quite novel and the design is a good starting point. Here's a summary of our main takeaways from our heuristic evaluation and things we think you should consider.
</t>
    </r>
    <r>
      <rPr>
        <rFont val="Arial"/>
        <b/>
        <i val="0"/>
        <color theme="1"/>
      </rPr>
      <t xml:space="preserve">Defining HireReels:
</t>
    </r>
    <r>
      <rPr>
        <rFont val="Arial"/>
        <i val="0"/>
        <color theme="1"/>
      </rPr>
      <t xml:space="preserve">I think on the homepage or somewhere on your app, you could A) Define what a HireReel is, and B) Define how a HireReel is supposed to be used (what is it's purpose). That way you can better leverage your abstraction and create a system where user's can also leverage it. Defining how a HireReel is supposed to be used is more complicated and you could instead let user's develop their own way of using them, but you as designers can help shape it to better align on your values. For example, maybe helping shape or define HireReel usage so that people dress in business-casual would help early applicants approach this system as opposed to business-formal being the norm. However, the main reason this would be useful is just to give user's a concrete understanding of what it is they are making and sharing and how it benefits them. This definition would also help alleviate a good chunk of the confusion we ran into when evaluating various heuristics (this fix would solve a good chunk of them). The biggest case of this confusion would be on messaging a recruiter; what does it mean to send them my HireReel?
</t>
    </r>
    <r>
      <rPr>
        <rFont val="Arial"/>
        <b/>
        <i val="0"/>
        <color theme="1"/>
      </rPr>
      <t xml:space="preserve">Task Flow:
</t>
    </r>
    <r>
      <rPr>
        <rFont val="Arial"/>
        <i val="0"/>
        <color theme="1"/>
      </rPr>
      <t xml:space="preserve">Probably my biggest piece of advice would be to go over how the user interacts with the complex task. There were a few instances where I was just left confused. What do the separate buttons refer to? And when I navigate to a certain HireReel, I'm not sure what the metrics I'm looking at actually refer to, so some description somewhere would be useful. I would also generally say I wasn't a fan of the very text-based UI. I would love to see one or two graphics even if just to make the page a little easier on the eye. Additionally, I feel like the "daily stat changes" could use a little bit of an overhaul. That data wouldn't be useful to me unless I could see trends over time, not just over the past 24 hours. Maybe a graph to show trends? I guess that would be harder to implement but I think it's worth consideration. 
</t>
    </r>
    <r>
      <rPr>
        <rFont val="Arial"/>
        <i/>
        <color theme="1"/>
      </rPr>
      <t xml:space="preserve">
</t>
    </r>
    <r>
      <rPr>
        <rFont val="Arial"/>
        <b/>
        <i val="0"/>
        <color theme="1"/>
      </rPr>
      <t xml:space="preserve">Visual design thoughts and inconsistencies:
</t>
    </r>
    <r>
      <rPr>
        <rFont val="Arial"/>
        <i val="0"/>
        <color theme="1"/>
      </rPr>
      <t xml:space="preserve">A trend I noticed throughout was inconsistencies in icons used, or the same icon used for different purposes. I would suggest making sure each button has its own purpose and its own unique icon and purposeful location. The latter is particularly important, as there are a few + buttons that I am not sure what functionality they would be tied to or if that functionality is even necessary in the design. This also ties into the User Control and Freedom violations, which included a lot of actions that users were forced to take. I would advise making sure there are "emergency exits" built into every action and that a user can bail at any point in the task flow. Lastly, I would take a close look at the aesthetics of the app, and especially how those aesthetics impact the accessibility of the design. I would suggest really prioritizing accessibility and thinking about the Curb-Cut effect. I suspect the changes to the accessibility violations will in turn be beneficial for the aesthetics violations as well.
</t>
    </r>
    <r>
      <rPr>
        <rFont val="Arial"/>
        <i/>
        <color theme="1"/>
      </rPr>
      <t xml:space="preserve">
</t>
    </r>
    <r>
      <rPr>
        <rFont val="Arial"/>
        <i val="0"/>
        <color theme="1"/>
      </rPr>
      <t xml:space="preserve">One other piece of advice I have that doesn't really fit into any of the heuristics is that I think you guys should consider changing the colors you're using in your app. Right now it's pretty much just three shades of orange that make up the entire app. And this maybe is just my opinion but I'm just not really a fan of like the "burnt" orange shade that you guys have made your primary color, and I think it's worth considering adding some other colors to accent certain parts of your app. (maybe buttons?) There are color templates in lecture slides from a week or two where James talked about using like three or four different colors in your app, and I honestly think you guys should definitely consider doing that as well, or at the very least cut down on just the amount of orange.
</t>
    </r>
  </si>
</sst>
</file>

<file path=xl/styles.xml><?xml version="1.0" encoding="utf-8"?>
<styleSheet xmlns="http://schemas.openxmlformats.org/spreadsheetml/2006/main" xmlns:x14ac="http://schemas.microsoft.com/office/spreadsheetml/2009/9/ac" xmlns:mc="http://schemas.openxmlformats.org/markup-compatibility/2006">
  <fonts count="23">
    <font>
      <sz val="10.0"/>
      <color rgb="FF000000"/>
      <name val="Arial"/>
      <scheme val="minor"/>
    </font>
    <font>
      <b/>
      <color theme="1"/>
      <name val="Arial"/>
      <scheme val="minor"/>
    </font>
    <font>
      <color theme="1"/>
      <name val="Arial"/>
    </font>
    <font>
      <color theme="1"/>
      <name val="Arial"/>
      <scheme val="minor"/>
    </font>
    <font>
      <i/>
      <color theme="1"/>
      <name val="Arial"/>
      <scheme val="minor"/>
    </font>
    <font>
      <sz val="11.0"/>
      <color rgb="FF1D1C1D"/>
      <name val="Slack-Lato"/>
    </font>
    <font>
      <i/>
      <sz val="10.0"/>
      <color rgb="FF1F1F1F"/>
      <name val="Arial"/>
      <scheme val="minor"/>
    </font>
    <font>
      <color rgb="FF434343"/>
      <name val="Roboto"/>
    </font>
    <font>
      <color rgb="FF753800"/>
      <name val="Roboto"/>
    </font>
    <font>
      <color rgb="FFB10202"/>
      <name val="Roboto"/>
    </font>
    <font>
      <color rgb="FF473821"/>
      <name val="Roboto"/>
    </font>
    <font>
      <color rgb="FFFFCFC9"/>
      <name val="Roboto"/>
    </font>
    <font>
      <color rgb="FF434343"/>
      <name val="Docs-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i/>
      <color theme="1"/>
      <name val="Arial"/>
    </font>
    <font>
      <b/>
      <i/>
      <color rgb="FF000000"/>
      <name val="Arial"/>
    </font>
    <font>
      <i/>
      <color rgb="FF000000"/>
      <name val="Arial"/>
    </font>
    <font>
      <b/>
      <color rgb="FF000000"/>
      <name val="Arial"/>
    </font>
  </fonts>
  <fills count="7">
    <fill>
      <patternFill patternType="none"/>
    </fill>
    <fill>
      <patternFill patternType="lightGray"/>
    </fill>
    <fill>
      <patternFill patternType="solid">
        <fgColor rgb="FFF3F3F3"/>
        <bgColor rgb="FFF3F3F3"/>
      </patternFill>
    </fill>
    <fill>
      <patternFill patternType="solid">
        <fgColor rgb="FFF8F8F8"/>
        <bgColor rgb="FFF8F8F8"/>
      </patternFill>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s>
  <borders count="21">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442F65"/>
      </left>
      <right style="thin">
        <color rgb="FFF6F8F9"/>
      </right>
      <top style="thin">
        <color rgb="FFF6F8F9"/>
      </top>
      <bottom style="thin">
        <color rgb="FF442F65"/>
      </bottom>
    </border>
    <border>
      <left style="thin">
        <color rgb="FFF6F8F9"/>
      </left>
      <right style="thin">
        <color rgb="FFF6F8F9"/>
      </right>
      <top style="thin">
        <color rgb="FFF6F8F9"/>
      </top>
      <bottom style="thin">
        <color rgb="FF442F65"/>
      </bottom>
    </border>
    <border>
      <left style="thin">
        <color rgb="FFF6F8F9"/>
      </left>
      <right style="thin">
        <color rgb="FF442F65"/>
      </right>
      <top style="thin">
        <color rgb="FFF6F8F9"/>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17">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shrinkToFit="0" vertical="bottom" wrapText="1"/>
    </xf>
    <xf borderId="0" fillId="0" fontId="3" numFmtId="0" xfId="0" applyAlignment="1" applyFont="1">
      <alignment horizontal="left" readingOrder="0" shrinkToFit="0" wrapText="1"/>
    </xf>
    <xf borderId="0" fillId="0" fontId="4" numFmtId="0" xfId="0" applyAlignment="1" applyFont="1">
      <alignment horizontal="left" readingOrder="0" shrinkToFit="0" wrapText="1"/>
    </xf>
    <xf borderId="0" fillId="2" fontId="1" numFmtId="0" xfId="0" applyAlignment="1" applyFill="1" applyFont="1">
      <alignment horizontal="left" readingOrder="0" shrinkToFit="0" wrapText="1"/>
    </xf>
    <xf borderId="0" fillId="3" fontId="5" numFmtId="0" xfId="0" applyAlignment="1" applyFill="1" applyFont="1">
      <alignment horizontal="left" shrinkToFit="0" wrapText="1"/>
    </xf>
    <xf borderId="0" fillId="4" fontId="6" numFmtId="0" xfId="0" applyAlignment="1" applyFill="1" applyFont="1">
      <alignment readingOrder="0"/>
    </xf>
    <xf borderId="0" fillId="0" fontId="3" numFmtId="0" xfId="0" applyAlignment="1" applyFont="1">
      <alignment horizontal="left" readingOrder="0" shrinkToFit="0" wrapText="1"/>
    </xf>
    <xf borderId="1" fillId="0" fontId="3" numFmtId="0" xfId="0" applyAlignment="1" applyBorder="1" applyFont="1">
      <alignment horizontal="left" readingOrder="0" shrinkToFit="0" vertical="center" wrapText="1"/>
    </xf>
    <xf borderId="2" fillId="0" fontId="3" numFmtId="0" xfId="0" applyAlignment="1" applyBorder="1" applyFont="1">
      <alignment horizontal="left" readingOrder="0" shrinkToFit="0" vertical="center" wrapText="1"/>
    </xf>
    <xf borderId="3" fillId="0" fontId="3" numFmtId="0" xfId="0" applyAlignment="1" applyBorder="1" applyFont="1">
      <alignment horizontal="left" readingOrder="0" shrinkToFit="0" vertical="center" wrapText="1"/>
    </xf>
    <xf borderId="4" fillId="4" fontId="7" numFmtId="0" xfId="0" applyAlignment="1" applyBorder="1" applyFont="1">
      <alignment horizontal="right" shrinkToFit="0" vertical="center" wrapText="0"/>
    </xf>
    <xf borderId="5" fillId="4" fontId="7" numFmtId="0" xfId="0" applyAlignment="1" applyBorder="1" applyFont="1">
      <alignment shrinkToFit="0" vertical="center" wrapText="0"/>
    </xf>
    <xf borderId="5" fillId="4" fontId="8" numFmtId="0" xfId="0" applyAlignment="1" applyBorder="1" applyFont="1">
      <alignment horizontal="right" shrinkToFit="0" vertical="center" wrapText="0"/>
    </xf>
    <xf borderId="5" fillId="4" fontId="7" numFmtId="49" xfId="0" applyAlignment="1" applyBorder="1" applyFont="1" applyNumberFormat="1">
      <alignment shrinkToFit="0" vertical="center" wrapText="1"/>
    </xf>
    <xf borderId="5" fillId="4" fontId="7" numFmtId="0" xfId="0" applyAlignment="1" applyBorder="1" applyFont="1">
      <alignment shrinkToFit="0" vertical="center" wrapText="1"/>
    </xf>
    <xf borderId="6" fillId="4" fontId="7" numFmtId="0" xfId="0" applyAlignment="1" applyBorder="1" applyFont="1">
      <alignment shrinkToFit="0" vertical="center" wrapText="1"/>
    </xf>
    <xf borderId="5" fillId="0" fontId="3" numFmtId="0" xfId="0" applyAlignment="1" applyBorder="1" applyFont="1">
      <alignment readingOrder="0" shrinkToFit="0" vertical="center" wrapText="0"/>
    </xf>
    <xf borderId="5" fillId="0" fontId="3" numFmtId="0" xfId="0" applyAlignment="1" applyBorder="1" applyFont="1">
      <alignment readingOrder="0" shrinkToFit="0" vertical="center" wrapText="0"/>
    </xf>
    <xf borderId="6" fillId="0" fontId="3" numFmtId="0" xfId="0" applyAlignment="1" applyBorder="1" applyFont="1">
      <alignment readingOrder="0" shrinkToFit="0" vertical="center" wrapText="0"/>
    </xf>
    <xf borderId="7" fillId="5" fontId="7" numFmtId="0" xfId="0" applyAlignment="1" applyBorder="1" applyFill="1" applyFont="1">
      <alignment horizontal="right" shrinkToFit="0" vertical="center" wrapText="0"/>
    </xf>
    <xf borderId="8" fillId="5" fontId="7" numFmtId="0" xfId="0" applyAlignment="1" applyBorder="1" applyFont="1">
      <alignment shrinkToFit="0" vertical="center" wrapText="0"/>
    </xf>
    <xf borderId="8" fillId="5" fontId="8" numFmtId="0" xfId="0" applyAlignment="1" applyBorder="1" applyFont="1">
      <alignment horizontal="right" shrinkToFit="0" vertical="center" wrapText="0"/>
    </xf>
    <xf borderId="8" fillId="5" fontId="7" numFmtId="49" xfId="0" applyAlignment="1" applyBorder="1" applyFont="1" applyNumberFormat="1">
      <alignment shrinkToFit="0" vertical="center" wrapText="1"/>
    </xf>
    <xf borderId="8" fillId="5" fontId="7" numFmtId="0" xfId="0" applyAlignment="1" applyBorder="1" applyFont="1">
      <alignment shrinkToFit="0" vertical="center" wrapText="1"/>
    </xf>
    <xf borderId="9" fillId="5" fontId="7" numFmtId="0" xfId="0" applyAlignment="1" applyBorder="1" applyFont="1">
      <alignment shrinkToFit="0" vertical="center" wrapText="1"/>
    </xf>
    <xf borderId="8" fillId="0" fontId="3" numFmtId="0" xfId="0" applyAlignment="1" applyBorder="1" applyFont="1">
      <alignment readingOrder="0" shrinkToFit="0" vertical="center" wrapText="0"/>
    </xf>
    <xf borderId="8" fillId="0" fontId="3" numFmtId="0" xfId="0" applyAlignment="1" applyBorder="1" applyFont="1">
      <alignment readingOrder="0" shrinkToFit="0" vertical="center" wrapText="0"/>
    </xf>
    <xf borderId="9" fillId="0" fontId="3" numFmtId="0" xfId="0" applyAlignment="1" applyBorder="1" applyFont="1">
      <alignment readingOrder="0" shrinkToFit="0" vertical="center" wrapText="0"/>
    </xf>
    <xf borderId="4" fillId="5" fontId="7" numFmtId="0" xfId="0" applyAlignment="1" applyBorder="1" applyFont="1">
      <alignment horizontal="right" shrinkToFit="0" vertical="center" wrapText="0"/>
    </xf>
    <xf borderId="5" fillId="5" fontId="7" numFmtId="0" xfId="0" applyAlignment="1" applyBorder="1" applyFont="1">
      <alignment shrinkToFit="0" vertical="center" wrapText="0"/>
    </xf>
    <xf borderId="5" fillId="5" fontId="8" numFmtId="0" xfId="0" applyAlignment="1" applyBorder="1" applyFont="1">
      <alignment horizontal="right" shrinkToFit="0" vertical="center" wrapText="0"/>
    </xf>
    <xf borderId="5" fillId="5" fontId="7" numFmtId="49" xfId="0" applyAlignment="1" applyBorder="1" applyFont="1" applyNumberFormat="1">
      <alignment shrinkToFit="0" vertical="center" wrapText="1"/>
    </xf>
    <xf borderId="5" fillId="5" fontId="7" numFmtId="0" xfId="0" applyAlignment="1" applyBorder="1" applyFont="1">
      <alignment shrinkToFit="0" vertical="center" wrapText="1"/>
    </xf>
    <xf borderId="6" fillId="5" fontId="7" numFmtId="0" xfId="0" applyAlignment="1" applyBorder="1" applyFont="1">
      <alignment shrinkToFit="0" vertical="center" wrapText="1"/>
    </xf>
    <xf borderId="6" fillId="0" fontId="3" numFmtId="0" xfId="0" applyAlignment="1" applyBorder="1" applyFont="1">
      <alignment readingOrder="0" shrinkToFit="0" vertical="center" wrapText="0"/>
    </xf>
    <xf borderId="7" fillId="0" fontId="3" numFmtId="0" xfId="0" applyAlignment="1" applyBorder="1" applyFont="1">
      <alignment readingOrder="0" shrinkToFit="0" vertical="center" wrapText="0"/>
    </xf>
    <xf borderId="8" fillId="5" fontId="9" numFmtId="0" xfId="0" applyAlignment="1" applyBorder="1" applyFont="1">
      <alignment horizontal="right" shrinkToFit="0" vertical="center" wrapText="0"/>
    </xf>
    <xf borderId="4" fillId="0" fontId="3" numFmtId="0" xfId="0" applyAlignment="1" applyBorder="1" applyFont="1">
      <alignment readingOrder="0" shrinkToFit="0" vertical="center" wrapText="0"/>
    </xf>
    <xf borderId="5" fillId="4" fontId="10" numFmtId="0" xfId="0" applyAlignment="1" applyBorder="1" applyFont="1">
      <alignment horizontal="right" shrinkToFit="0" vertical="center" wrapText="0"/>
    </xf>
    <xf borderId="5" fillId="4" fontId="7" numFmtId="49" xfId="0" applyAlignment="1" applyBorder="1" applyFont="1" applyNumberFormat="1">
      <alignment readingOrder="0" shrinkToFit="0" vertical="center" wrapText="1"/>
    </xf>
    <xf borderId="5" fillId="0" fontId="2" numFmtId="0" xfId="0" applyAlignment="1" applyBorder="1" applyFont="1">
      <alignment readingOrder="0" shrinkToFit="0" vertical="bottom" wrapText="0"/>
    </xf>
    <xf borderId="5" fillId="0" fontId="2" numFmtId="0" xfId="0" applyAlignment="1" applyBorder="1" applyFont="1">
      <alignment readingOrder="0" shrinkToFit="0" vertical="bottom" wrapText="0"/>
    </xf>
    <xf borderId="6" fillId="0" fontId="2" numFmtId="0" xfId="0" applyAlignment="1" applyBorder="1" applyFont="1">
      <alignment readingOrder="0" shrinkToFit="0" vertical="bottom" wrapText="0"/>
    </xf>
    <xf borderId="7" fillId="4" fontId="7" numFmtId="0" xfId="0" applyAlignment="1" applyBorder="1" applyFont="1">
      <alignment horizontal="right" shrinkToFit="0" vertical="center" wrapText="0"/>
    </xf>
    <xf borderId="8" fillId="4" fontId="7" numFmtId="0" xfId="0" applyAlignment="1" applyBorder="1" applyFont="1">
      <alignment shrinkToFit="0" vertical="center" wrapText="0"/>
    </xf>
    <xf borderId="8" fillId="4" fontId="9" numFmtId="0" xfId="0" applyAlignment="1" applyBorder="1" applyFont="1">
      <alignment horizontal="right" shrinkToFit="0" vertical="center" wrapText="0"/>
    </xf>
    <xf borderId="8" fillId="4" fontId="7" numFmtId="49" xfId="0" applyAlignment="1" applyBorder="1" applyFont="1" applyNumberFormat="1">
      <alignment shrinkToFit="0" vertical="center" wrapText="1"/>
    </xf>
    <xf borderId="8" fillId="4" fontId="7" numFmtId="0" xfId="0" applyAlignment="1" applyBorder="1" applyFont="1">
      <alignment shrinkToFit="0" vertical="center" wrapText="1"/>
    </xf>
    <xf borderId="9" fillId="4" fontId="7" numFmtId="0" xfId="0" applyAlignment="1" applyBorder="1" applyFont="1">
      <alignment shrinkToFit="0" vertical="center" wrapText="1"/>
    </xf>
    <xf borderId="5" fillId="5" fontId="10" numFmtId="0" xfId="0" applyAlignment="1" applyBorder="1" applyFont="1">
      <alignment horizontal="right" shrinkToFit="0" vertical="center" wrapText="0"/>
    </xf>
    <xf borderId="8" fillId="4" fontId="9" numFmtId="0" xfId="0" applyAlignment="1" applyBorder="1" applyFont="1">
      <alignment horizontal="right" readingOrder="0" shrinkToFit="0" vertical="center" wrapText="0"/>
    </xf>
    <xf borderId="8" fillId="0" fontId="3" numFmtId="0" xfId="0" applyAlignment="1" applyBorder="1" applyFont="1">
      <alignment readingOrder="0" shrinkToFit="0" vertical="center" wrapText="0"/>
    </xf>
    <xf borderId="5" fillId="5" fontId="7" numFmtId="0" xfId="0" applyAlignment="1" applyBorder="1" applyFont="1">
      <alignment shrinkToFit="0" vertical="center" wrapText="0"/>
    </xf>
    <xf borderId="5" fillId="5" fontId="9" numFmtId="0" xfId="0" applyAlignment="1" applyBorder="1" applyFont="1">
      <alignment horizontal="right" shrinkToFit="0" vertical="center" wrapText="0"/>
    </xf>
    <xf borderId="8" fillId="4" fontId="8" numFmtId="0" xfId="0" applyAlignment="1" applyBorder="1" applyFont="1">
      <alignment horizontal="right" shrinkToFit="0" vertical="center" wrapText="0"/>
    </xf>
    <xf borderId="8" fillId="5" fontId="10" numFmtId="0" xfId="0" applyAlignment="1" applyBorder="1" applyFont="1">
      <alignment horizontal="right" shrinkToFit="0" vertical="center" wrapText="0"/>
    </xf>
    <xf borderId="8" fillId="4" fontId="7" numFmtId="0" xfId="0" applyAlignment="1" applyBorder="1" applyFont="1">
      <alignment readingOrder="0" shrinkToFit="0" vertical="center" wrapText="0"/>
    </xf>
    <xf borderId="8" fillId="4" fontId="11" numFmtId="0" xfId="0" applyAlignment="1" applyBorder="1" applyFont="1">
      <alignment horizontal="right" shrinkToFit="0" vertical="center" wrapText="0"/>
    </xf>
    <xf borderId="5" fillId="4" fontId="9" numFmtId="0" xfId="0" applyAlignment="1" applyBorder="1" applyFont="1">
      <alignment horizontal="right" shrinkToFit="0" vertical="center" wrapText="0"/>
    </xf>
    <xf borderId="5" fillId="4" fontId="7" numFmtId="0" xfId="0" applyAlignment="1" applyBorder="1" applyFont="1">
      <alignment readingOrder="0" shrinkToFit="0" vertical="center" wrapText="1"/>
    </xf>
    <xf borderId="8" fillId="4" fontId="10" numFmtId="0" xfId="0" applyAlignment="1" applyBorder="1" applyFont="1">
      <alignment horizontal="right" shrinkToFit="0" vertical="center" wrapText="0"/>
    </xf>
    <xf borderId="9" fillId="4" fontId="7" numFmtId="0" xfId="0" applyAlignment="1" applyBorder="1" applyFont="1">
      <alignment readingOrder="0" shrinkToFit="0" vertical="center" wrapText="1"/>
    </xf>
    <xf borderId="5" fillId="0" fontId="3" numFmtId="0" xfId="0" applyAlignment="1" applyBorder="1" applyFont="1">
      <alignment readingOrder="0" shrinkToFit="0" vertical="center" wrapText="0"/>
    </xf>
    <xf borderId="8" fillId="4" fontId="9" numFmtId="0" xfId="0" applyAlignment="1" applyBorder="1" applyFont="1">
      <alignment horizontal="right" shrinkToFit="0" vertical="center" wrapText="0"/>
    </xf>
    <xf borderId="6" fillId="4" fontId="12" numFmtId="0" xfId="0" applyAlignment="1" applyBorder="1" applyFont="1">
      <alignment shrinkToFit="0" vertical="center" wrapText="1"/>
    </xf>
    <xf borderId="5" fillId="0" fontId="2" numFmtId="0" xfId="0" applyAlignment="1" applyBorder="1" applyFont="1">
      <alignment readingOrder="0" shrinkToFit="0" vertical="bottom" wrapText="0"/>
    </xf>
    <xf borderId="8" fillId="0" fontId="2" numFmtId="0" xfId="0" applyAlignment="1" applyBorder="1" applyFont="1">
      <alignment readingOrder="0" shrinkToFit="0" vertical="bottom" wrapText="0"/>
    </xf>
    <xf borderId="8" fillId="0" fontId="2" numFmtId="0" xfId="0" applyAlignment="1" applyBorder="1" applyFont="1">
      <alignment readingOrder="0" shrinkToFit="0" vertical="bottom" wrapText="0"/>
    </xf>
    <xf borderId="9" fillId="0" fontId="2" numFmtId="0" xfId="0" applyAlignment="1" applyBorder="1" applyFont="1">
      <alignment readingOrder="0" shrinkToFit="0" vertical="bottom" wrapText="0"/>
    </xf>
    <xf borderId="5" fillId="4" fontId="7" numFmtId="0" xfId="0" applyAlignment="1" applyBorder="1" applyFont="1">
      <alignment shrinkToFit="0" vertical="center" wrapText="0"/>
    </xf>
    <xf borderId="5" fillId="4" fontId="8" numFmtId="0" xfId="0" applyAlignment="1" applyBorder="1" applyFont="1">
      <alignment horizontal="right" shrinkToFit="0" vertical="center" wrapText="0"/>
    </xf>
    <xf borderId="8" fillId="5" fontId="8" numFmtId="0" xfId="0" applyAlignment="1" applyBorder="1" applyFont="1">
      <alignment horizontal="right" readingOrder="0" shrinkToFit="0" vertical="center" wrapText="0"/>
    </xf>
    <xf borderId="8" fillId="5" fontId="10" numFmtId="0" xfId="0" applyAlignment="1" applyBorder="1" applyFont="1">
      <alignment horizontal="right" shrinkToFit="0" vertical="center" wrapText="0"/>
    </xf>
    <xf borderId="5" fillId="5" fontId="9" numFmtId="0" xfId="0" applyAlignment="1" applyBorder="1" applyFont="1">
      <alignment horizontal="right" readingOrder="0" shrinkToFit="0" vertical="center" wrapText="0"/>
    </xf>
    <xf borderId="5" fillId="4" fontId="9" numFmtId="0" xfId="0" applyAlignment="1" applyBorder="1" applyFont="1">
      <alignment horizontal="right" readingOrder="0" shrinkToFit="0" vertical="center" wrapText="0"/>
    </xf>
    <xf borderId="8" fillId="5" fontId="9" numFmtId="0" xfId="0" applyAlignment="1" applyBorder="1" applyFont="1">
      <alignment horizontal="right" readingOrder="0" shrinkToFit="0" vertical="center" wrapText="0"/>
    </xf>
    <xf borderId="8" fillId="5" fontId="7" numFmtId="0" xfId="0" applyAlignment="1" applyBorder="1" applyFont="1">
      <alignment readingOrder="0" shrinkToFit="0" vertical="center" wrapText="1"/>
    </xf>
    <xf borderId="9" fillId="5" fontId="7" numFmtId="0" xfId="0" applyAlignment="1" applyBorder="1" applyFont="1">
      <alignment readingOrder="0" shrinkToFit="0" vertical="center" wrapText="1"/>
    </xf>
    <xf borderId="0" fillId="0" fontId="2" numFmtId="0" xfId="0" applyAlignment="1" applyFont="1">
      <alignment vertical="bottom"/>
    </xf>
    <xf borderId="10" fillId="0" fontId="3" numFmtId="0" xfId="0" applyAlignment="1" applyBorder="1" applyFont="1">
      <alignment readingOrder="0" shrinkToFit="0" vertical="center" wrapText="0"/>
    </xf>
    <xf borderId="5" fillId="5" fontId="7" numFmtId="0" xfId="0" applyAlignment="1" applyBorder="1" applyFont="1">
      <alignment readingOrder="0" shrinkToFit="0" vertical="center" wrapText="0"/>
    </xf>
    <xf borderId="5" fillId="5" fontId="8" numFmtId="0" xfId="0" applyAlignment="1" applyBorder="1" applyFont="1">
      <alignment horizontal="right" readingOrder="0" shrinkToFit="0" vertical="center" wrapText="0"/>
    </xf>
    <xf borderId="5" fillId="5" fontId="7" numFmtId="49" xfId="0" applyAlignment="1" applyBorder="1" applyFont="1" applyNumberFormat="1">
      <alignment readingOrder="0" shrinkToFit="0" vertical="center" wrapText="1"/>
    </xf>
    <xf borderId="11" fillId="0" fontId="2" numFmtId="0" xfId="0" applyAlignment="1" applyBorder="1" applyFont="1">
      <alignment readingOrder="0" shrinkToFit="0" vertical="bottom" wrapText="0"/>
    </xf>
    <xf borderId="11" fillId="0" fontId="2" numFmtId="0" xfId="0" applyAlignment="1" applyBorder="1" applyFont="1">
      <alignment readingOrder="0" shrinkToFit="0" vertical="bottom" wrapText="0"/>
    </xf>
    <xf borderId="12" fillId="0" fontId="2" numFmtId="0" xfId="0" applyAlignment="1" applyBorder="1" applyFont="1">
      <alignment readingOrder="0" shrinkToFit="0" vertical="bottom" wrapText="0"/>
    </xf>
    <xf borderId="13" fillId="2" fontId="1" numFmtId="0" xfId="0" applyAlignment="1" applyBorder="1" applyFont="1">
      <alignment readingOrder="0"/>
    </xf>
    <xf borderId="14" fillId="2" fontId="13" numFmtId="0" xfId="0" applyAlignment="1" applyBorder="1" applyFont="1">
      <alignment horizontal="left" readingOrder="0" shrinkToFit="0" wrapText="1"/>
    </xf>
    <xf borderId="15" fillId="2" fontId="13" numFmtId="0" xfId="0" applyAlignment="1" applyBorder="1" applyFont="1">
      <alignment horizontal="left" readingOrder="0" shrinkToFit="0" wrapText="1"/>
    </xf>
    <xf borderId="0" fillId="0" fontId="1" numFmtId="0" xfId="0" applyAlignment="1" applyFont="1">
      <alignment readingOrder="0"/>
    </xf>
    <xf borderId="16" fillId="0" fontId="0" numFmtId="0" xfId="0" applyAlignment="1" applyBorder="1" applyFont="1">
      <alignment readingOrder="0"/>
    </xf>
    <xf borderId="0" fillId="0" fontId="14" numFmtId="0" xfId="0" applyFont="1"/>
    <xf borderId="0" fillId="4" fontId="15" numFmtId="0" xfId="0" applyFont="1"/>
    <xf borderId="17" fillId="0" fontId="14" numFmtId="0" xfId="0" applyBorder="1" applyFont="1"/>
    <xf borderId="16" fillId="0" fontId="0" numFmtId="0" xfId="0" applyAlignment="1" applyBorder="1" applyFont="1">
      <alignment horizontal="left" readingOrder="0" shrinkToFit="0" wrapText="1"/>
    </xf>
    <xf borderId="17" fillId="4" fontId="15" numFmtId="0" xfId="0" applyBorder="1" applyFont="1"/>
    <xf borderId="0" fillId="4" fontId="16" numFmtId="0" xfId="0" applyFont="1"/>
    <xf borderId="18" fillId="0" fontId="1" numFmtId="0" xfId="0" applyAlignment="1" applyBorder="1" applyFont="1">
      <alignment readingOrder="0"/>
    </xf>
    <xf borderId="19" fillId="0" fontId="14" numFmtId="0" xfId="0" applyBorder="1" applyFont="1"/>
    <xf borderId="20" fillId="0" fontId="14" numFmtId="0" xfId="0" applyBorder="1" applyFont="1"/>
    <xf borderId="0" fillId="0" fontId="17" numFmtId="0" xfId="0" applyAlignment="1" applyFont="1">
      <alignment vertical="bottom"/>
    </xf>
    <xf borderId="0" fillId="0" fontId="17" numFmtId="0" xfId="0" applyAlignment="1" applyFont="1">
      <alignment readingOrder="0" vertical="bottom"/>
    </xf>
    <xf borderId="0" fillId="0" fontId="4" numFmtId="0" xfId="0" applyAlignment="1" applyFont="1">
      <alignment horizontal="center" readingOrder="0"/>
    </xf>
    <xf borderId="0" fillId="2" fontId="1" numFmtId="0" xfId="0" applyAlignment="1" applyFont="1">
      <alignment horizontal="center" readingOrder="0"/>
    </xf>
    <xf borderId="0" fillId="0" fontId="3" numFmtId="0" xfId="0" applyAlignment="1" applyFont="1">
      <alignment readingOrder="0"/>
    </xf>
    <xf borderId="0" fillId="4" fontId="16" numFmtId="0" xfId="0" applyAlignment="1" applyFont="1">
      <alignment horizontal="left"/>
    </xf>
    <xf borderId="0" fillId="0" fontId="3" numFmtId="0" xfId="0" applyFont="1"/>
    <xf borderId="13" fillId="6" fontId="17" numFmtId="0" xfId="0" applyAlignment="1" applyBorder="1" applyFill="1" applyFont="1">
      <alignment readingOrder="0" vertical="bottom"/>
    </xf>
    <xf borderId="14" fillId="0" fontId="18" numFmtId="0" xfId="0" applyBorder="1" applyFont="1"/>
    <xf borderId="15" fillId="0" fontId="18" numFmtId="0" xfId="0" applyBorder="1" applyFont="1"/>
    <xf borderId="0" fillId="0" fontId="19" numFmtId="0" xfId="0" applyAlignment="1" applyFont="1">
      <alignment readingOrder="0" shrinkToFit="0" vertical="top" wrapText="1"/>
    </xf>
    <xf borderId="0" fillId="0" fontId="20" numFmtId="0" xfId="0" applyAlignment="1" applyFont="1">
      <alignment horizontal="left" readingOrder="0"/>
    </xf>
    <xf borderId="0" fillId="0" fontId="21" numFmtId="0" xfId="0" applyAlignment="1" applyFont="1">
      <alignment horizontal="left" readingOrder="0"/>
    </xf>
    <xf borderId="0" fillId="0" fontId="21" numFmtId="0" xfId="0" applyAlignment="1" applyFont="1">
      <alignment horizontal="left"/>
    </xf>
    <xf borderId="0" fillId="0" fontId="22" numFmtId="0" xfId="0" applyAlignment="1" applyFont="1">
      <alignment horizontal="left" readingOrder="0"/>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J46" displayName="Group_Heuristic_Evaluations" name="Group_Heuristic_Evaluations" id="1">
  <autoFilter ref="$A$10:$J$46"/>
  <tableColumns count="10">
    <tableColumn name="Problem #" id="1"/>
    <tableColumn name="Heuristic " id="2"/>
    <tableColumn name="Task" id="3"/>
    <tableColumn name="Severity" id="4"/>
    <tableColumn name="Description" id="5"/>
    <tableColumn name="Rationale" id="6"/>
    <tableColumn name="Fix" id="7"/>
    <tableColumn name="Found by" id="8"/>
    <tableColumn name="Comments" id="9"/>
    <tableColumn name="Column 1" id="10"/>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0" topLeftCell="A11" activePane="bottomLeft" state="frozen"/>
      <selection activeCell="B12" sqref="B12" pane="bottomLeft"/>
    </sheetView>
  </sheetViews>
  <sheetFormatPr customHeight="1" defaultColWidth="12.63" defaultRowHeight="15.75"/>
  <cols>
    <col customWidth="1" min="1" max="1" width="13.25"/>
    <col customWidth="1" min="2" max="2" width="30.13"/>
    <col customWidth="1" min="3" max="10" width="22.63"/>
    <col customWidth="1" min="11" max="11" width="15.13"/>
  </cols>
  <sheetData>
    <row r="1">
      <c r="A1" s="1" t="s">
        <v>0</v>
      </c>
      <c r="B1" s="2" t="s">
        <v>1</v>
      </c>
      <c r="F1" s="3"/>
      <c r="G1" s="3"/>
    </row>
    <row r="2">
      <c r="A2" s="3"/>
      <c r="B2" s="3"/>
      <c r="C2" s="3"/>
      <c r="D2" s="3"/>
      <c r="E2" s="3"/>
      <c r="F2" s="3"/>
      <c r="G2" s="3"/>
    </row>
    <row r="3">
      <c r="A3" s="3"/>
      <c r="B3" s="3"/>
      <c r="C3" s="3"/>
      <c r="D3" s="4" t="s">
        <v>2</v>
      </c>
      <c r="F3" s="3"/>
      <c r="G3" s="3"/>
    </row>
    <row r="4">
      <c r="A4" s="5" t="s">
        <v>3</v>
      </c>
      <c r="B4" s="4" t="s">
        <v>4</v>
      </c>
      <c r="C4" s="4"/>
      <c r="D4" s="5" t="s">
        <v>5</v>
      </c>
      <c r="E4" s="4"/>
      <c r="F4" s="3"/>
      <c r="G4" s="3"/>
      <c r="H4" s="6"/>
    </row>
    <row r="5">
      <c r="A5" s="5" t="s">
        <v>6</v>
      </c>
      <c r="B5" s="7" t="s">
        <v>7</v>
      </c>
      <c r="C5" s="4"/>
      <c r="D5" s="5" t="s">
        <v>8</v>
      </c>
      <c r="E5" s="4"/>
      <c r="F5" s="3"/>
      <c r="G5" s="3"/>
      <c r="H5" s="6"/>
    </row>
    <row r="6">
      <c r="A6" s="5" t="s">
        <v>9</v>
      </c>
      <c r="B6" s="4" t="s">
        <v>10</v>
      </c>
      <c r="C6" s="4"/>
      <c r="D6" s="5" t="s">
        <v>11</v>
      </c>
      <c r="E6" s="4"/>
      <c r="F6" s="3"/>
      <c r="G6" s="3"/>
      <c r="H6" s="6"/>
    </row>
    <row r="7">
      <c r="A7" s="3"/>
      <c r="B7" s="3"/>
      <c r="C7" s="3"/>
      <c r="D7" s="5" t="s">
        <v>12</v>
      </c>
      <c r="E7" s="8"/>
      <c r="F7" s="3"/>
      <c r="G7" s="3"/>
      <c r="H7" s="6"/>
    </row>
    <row r="8">
      <c r="A8" s="3"/>
      <c r="B8" s="3"/>
      <c r="C8" s="3"/>
      <c r="D8" s="3"/>
      <c r="E8" s="3"/>
      <c r="F8" s="3"/>
      <c r="G8" s="3"/>
    </row>
    <row r="9">
      <c r="A9" s="3"/>
      <c r="B9" s="3"/>
      <c r="C9" s="3"/>
      <c r="D9" s="3"/>
      <c r="E9" s="4" t="s">
        <v>13</v>
      </c>
      <c r="F9" s="3"/>
      <c r="G9" s="3"/>
    </row>
    <row r="10">
      <c r="A10" s="9" t="s">
        <v>14</v>
      </c>
      <c r="B10" s="10" t="s">
        <v>15</v>
      </c>
      <c r="C10" s="10" t="s">
        <v>16</v>
      </c>
      <c r="D10" s="10" t="s">
        <v>17</v>
      </c>
      <c r="E10" s="10" t="s">
        <v>18</v>
      </c>
      <c r="F10" s="10" t="s">
        <v>19</v>
      </c>
      <c r="G10" s="10" t="s">
        <v>20</v>
      </c>
      <c r="H10" s="10" t="s">
        <v>21</v>
      </c>
      <c r="I10" s="10" t="s">
        <v>22</v>
      </c>
      <c r="J10" s="11" t="s">
        <v>23</v>
      </c>
    </row>
    <row r="11">
      <c r="A11" s="12">
        <f t="shared" ref="A11:A46" si="1">ROW() - 10</f>
        <v>1</v>
      </c>
      <c r="B11" s="13" t="s">
        <v>24</v>
      </c>
      <c r="C11" s="13" t="s">
        <v>25</v>
      </c>
      <c r="D11" s="14">
        <v>2.0</v>
      </c>
      <c r="E11" s="15" t="s">
        <v>26</v>
      </c>
      <c r="F11" s="16" t="s">
        <v>27</v>
      </c>
      <c r="G11" s="17" t="s">
        <v>28</v>
      </c>
      <c r="H11" s="18" t="s">
        <v>29</v>
      </c>
      <c r="I11" s="19" t="s">
        <v>30</v>
      </c>
      <c r="J11" s="20"/>
    </row>
    <row r="12">
      <c r="A12" s="21">
        <f t="shared" si="1"/>
        <v>2</v>
      </c>
      <c r="B12" s="22" t="s">
        <v>31</v>
      </c>
      <c r="C12" s="22" t="s">
        <v>25</v>
      </c>
      <c r="D12" s="23">
        <v>2.0</v>
      </c>
      <c r="E12" s="24" t="s">
        <v>32</v>
      </c>
      <c r="F12" s="25" t="s">
        <v>33</v>
      </c>
      <c r="G12" s="26" t="s">
        <v>34</v>
      </c>
      <c r="H12" s="27" t="s">
        <v>35</v>
      </c>
      <c r="I12" s="28" t="s">
        <v>36</v>
      </c>
      <c r="J12" s="29"/>
    </row>
    <row r="13">
      <c r="A13" s="30">
        <f t="shared" si="1"/>
        <v>3</v>
      </c>
      <c r="B13" s="31" t="s">
        <v>37</v>
      </c>
      <c r="C13" s="31" t="s">
        <v>25</v>
      </c>
      <c r="D13" s="32">
        <v>2.0</v>
      </c>
      <c r="E13" s="33" t="s">
        <v>38</v>
      </c>
      <c r="F13" s="34" t="s">
        <v>39</v>
      </c>
      <c r="G13" s="35" t="s">
        <v>40</v>
      </c>
      <c r="H13" s="18" t="s">
        <v>35</v>
      </c>
      <c r="I13" s="19" t="s">
        <v>41</v>
      </c>
      <c r="J13" s="36"/>
    </row>
    <row r="14">
      <c r="A14" s="37">
        <f t="shared" si="1"/>
        <v>4</v>
      </c>
      <c r="B14" s="22" t="s">
        <v>42</v>
      </c>
      <c r="C14" s="22" t="s">
        <v>25</v>
      </c>
      <c r="D14" s="38">
        <v>3.0</v>
      </c>
      <c r="E14" s="24" t="s">
        <v>43</v>
      </c>
      <c r="F14" s="25" t="s">
        <v>44</v>
      </c>
      <c r="G14" s="26" t="s">
        <v>45</v>
      </c>
      <c r="H14" s="27" t="s">
        <v>46</v>
      </c>
      <c r="I14" s="28" t="s">
        <v>47</v>
      </c>
      <c r="J14" s="29"/>
    </row>
    <row r="15">
      <c r="A15" s="39">
        <f t="shared" si="1"/>
        <v>5</v>
      </c>
      <c r="B15" s="13" t="s">
        <v>48</v>
      </c>
      <c r="C15" s="13" t="s">
        <v>25</v>
      </c>
      <c r="D15" s="40">
        <v>1.0</v>
      </c>
      <c r="E15" s="41" t="s">
        <v>49</v>
      </c>
      <c r="F15" s="16" t="s">
        <v>50</v>
      </c>
      <c r="G15" s="17" t="s">
        <v>51</v>
      </c>
      <c r="H15" s="42" t="s">
        <v>52</v>
      </c>
      <c r="I15" s="43" t="s">
        <v>53</v>
      </c>
      <c r="J15" s="44"/>
    </row>
    <row r="16">
      <c r="A16" s="45">
        <f t="shared" si="1"/>
        <v>6</v>
      </c>
      <c r="B16" s="46" t="s">
        <v>54</v>
      </c>
      <c r="C16" s="46" t="s">
        <v>55</v>
      </c>
      <c r="D16" s="47">
        <v>3.0</v>
      </c>
      <c r="E16" s="48" t="s">
        <v>56</v>
      </c>
      <c r="F16" s="49" t="s">
        <v>57</v>
      </c>
      <c r="G16" s="50" t="s">
        <v>58</v>
      </c>
      <c r="H16" s="27" t="s">
        <v>29</v>
      </c>
      <c r="I16" s="28" t="s">
        <v>59</v>
      </c>
      <c r="J16" s="29"/>
    </row>
    <row r="17">
      <c r="A17" s="30">
        <f t="shared" si="1"/>
        <v>7</v>
      </c>
      <c r="B17" s="31" t="s">
        <v>60</v>
      </c>
      <c r="C17" s="31" t="s">
        <v>55</v>
      </c>
      <c r="D17" s="51">
        <v>1.0</v>
      </c>
      <c r="E17" s="33" t="s">
        <v>61</v>
      </c>
      <c r="F17" s="34" t="s">
        <v>62</v>
      </c>
      <c r="G17" s="35" t="s">
        <v>63</v>
      </c>
      <c r="H17" s="18" t="s">
        <v>35</v>
      </c>
      <c r="I17" s="19" t="s">
        <v>64</v>
      </c>
      <c r="J17" s="36"/>
    </row>
    <row r="18">
      <c r="A18" s="37">
        <f t="shared" si="1"/>
        <v>8</v>
      </c>
      <c r="B18" s="46" t="s">
        <v>31</v>
      </c>
      <c r="C18" s="46" t="s">
        <v>55</v>
      </c>
      <c r="D18" s="52">
        <v>2.0</v>
      </c>
      <c r="E18" s="48" t="s">
        <v>65</v>
      </c>
      <c r="F18" s="49" t="s">
        <v>66</v>
      </c>
      <c r="G18" s="50" t="s">
        <v>67</v>
      </c>
      <c r="H18" s="27" t="s">
        <v>68</v>
      </c>
      <c r="I18" s="53"/>
      <c r="J18" s="29"/>
    </row>
    <row r="19">
      <c r="A19" s="39">
        <f t="shared" si="1"/>
        <v>9</v>
      </c>
      <c r="B19" s="54" t="s">
        <v>24</v>
      </c>
      <c r="C19" s="54" t="s">
        <v>55</v>
      </c>
      <c r="D19" s="55">
        <v>3.0</v>
      </c>
      <c r="E19" s="33" t="s">
        <v>69</v>
      </c>
      <c r="F19" s="34" t="s">
        <v>70</v>
      </c>
      <c r="G19" s="35" t="s">
        <v>71</v>
      </c>
      <c r="H19" s="42" t="s">
        <v>52</v>
      </c>
      <c r="I19" s="43" t="s">
        <v>72</v>
      </c>
      <c r="J19" s="44"/>
    </row>
    <row r="20">
      <c r="A20" s="45">
        <f t="shared" si="1"/>
        <v>10</v>
      </c>
      <c r="B20" s="46" t="s">
        <v>42</v>
      </c>
      <c r="C20" s="46" t="s">
        <v>73</v>
      </c>
      <c r="D20" s="56">
        <v>2.0</v>
      </c>
      <c r="E20" s="48" t="s">
        <v>74</v>
      </c>
      <c r="F20" s="49" t="s">
        <v>75</v>
      </c>
      <c r="G20" s="50" t="s">
        <v>76</v>
      </c>
      <c r="H20" s="27" t="s">
        <v>35</v>
      </c>
      <c r="I20" s="28" t="s">
        <v>77</v>
      </c>
      <c r="J20" s="29"/>
    </row>
    <row r="21">
      <c r="A21" s="30">
        <f t="shared" si="1"/>
        <v>11</v>
      </c>
      <c r="B21" s="31" t="s">
        <v>78</v>
      </c>
      <c r="C21" s="31" t="s">
        <v>73</v>
      </c>
      <c r="D21" s="55">
        <v>3.0</v>
      </c>
      <c r="E21" s="33" t="s">
        <v>79</v>
      </c>
      <c r="F21" s="34" t="s">
        <v>80</v>
      </c>
      <c r="G21" s="35" t="s">
        <v>81</v>
      </c>
      <c r="H21" s="18" t="s">
        <v>35</v>
      </c>
      <c r="I21" s="19" t="s">
        <v>82</v>
      </c>
      <c r="J21" s="36"/>
    </row>
    <row r="22">
      <c r="A22" s="21">
        <f t="shared" si="1"/>
        <v>12</v>
      </c>
      <c r="B22" s="22" t="s">
        <v>60</v>
      </c>
      <c r="C22" s="22" t="s">
        <v>73</v>
      </c>
      <c r="D22" s="57">
        <v>1.0</v>
      </c>
      <c r="E22" s="24" t="s">
        <v>83</v>
      </c>
      <c r="F22" s="25" t="s">
        <v>84</v>
      </c>
      <c r="G22" s="26" t="s">
        <v>85</v>
      </c>
      <c r="H22" s="27" t="s">
        <v>35</v>
      </c>
      <c r="I22" s="28" t="s">
        <v>77</v>
      </c>
      <c r="J22" s="29"/>
    </row>
    <row r="23">
      <c r="A23" s="39">
        <f t="shared" si="1"/>
        <v>13</v>
      </c>
      <c r="B23" s="31" t="s">
        <v>24</v>
      </c>
      <c r="C23" s="31" t="s">
        <v>73</v>
      </c>
      <c r="D23" s="55">
        <v>3.0</v>
      </c>
      <c r="E23" s="33" t="s">
        <v>86</v>
      </c>
      <c r="F23" s="34" t="s">
        <v>87</v>
      </c>
      <c r="G23" s="35" t="s">
        <v>88</v>
      </c>
      <c r="H23" s="18" t="s">
        <v>46</v>
      </c>
      <c r="I23" s="19" t="s">
        <v>89</v>
      </c>
      <c r="J23" s="36"/>
    </row>
    <row r="24">
      <c r="A24" s="37">
        <f t="shared" si="1"/>
        <v>14</v>
      </c>
      <c r="B24" s="58" t="s">
        <v>37</v>
      </c>
      <c r="C24" s="46" t="s">
        <v>73</v>
      </c>
      <c r="D24" s="59">
        <v>4.0</v>
      </c>
      <c r="E24" s="48" t="s">
        <v>90</v>
      </c>
      <c r="F24" s="49" t="s">
        <v>91</v>
      </c>
      <c r="G24" s="50" t="s">
        <v>92</v>
      </c>
      <c r="H24" s="27" t="s">
        <v>93</v>
      </c>
      <c r="I24" s="28" t="s">
        <v>94</v>
      </c>
      <c r="J24" s="29"/>
    </row>
    <row r="25">
      <c r="A25" s="12">
        <f t="shared" si="1"/>
        <v>15</v>
      </c>
      <c r="B25" s="13" t="s">
        <v>78</v>
      </c>
      <c r="C25" s="13" t="s">
        <v>95</v>
      </c>
      <c r="D25" s="60">
        <v>3.0</v>
      </c>
      <c r="E25" s="15" t="s">
        <v>96</v>
      </c>
      <c r="F25" s="61" t="s">
        <v>97</v>
      </c>
      <c r="G25" s="17" t="s">
        <v>98</v>
      </c>
      <c r="H25" s="18" t="s">
        <v>99</v>
      </c>
      <c r="I25" s="19" t="s">
        <v>100</v>
      </c>
      <c r="J25" s="36"/>
    </row>
    <row r="26">
      <c r="A26" s="45">
        <f t="shared" si="1"/>
        <v>16</v>
      </c>
      <c r="B26" s="46" t="s">
        <v>60</v>
      </c>
      <c r="C26" s="46" t="s">
        <v>95</v>
      </c>
      <c r="D26" s="62">
        <v>1.0</v>
      </c>
      <c r="E26" s="48" t="s">
        <v>101</v>
      </c>
      <c r="F26" s="49" t="s">
        <v>62</v>
      </c>
      <c r="G26" s="63" t="s">
        <v>102</v>
      </c>
      <c r="H26" s="27" t="s">
        <v>35</v>
      </c>
      <c r="I26" s="28" t="s">
        <v>103</v>
      </c>
      <c r="J26" s="29"/>
    </row>
    <row r="27">
      <c r="A27" s="12">
        <f t="shared" si="1"/>
        <v>17</v>
      </c>
      <c r="B27" s="13" t="s">
        <v>42</v>
      </c>
      <c r="C27" s="13" t="s">
        <v>95</v>
      </c>
      <c r="D27" s="40">
        <v>1.0</v>
      </c>
      <c r="E27" s="41" t="s">
        <v>104</v>
      </c>
      <c r="F27" s="16" t="s">
        <v>105</v>
      </c>
      <c r="G27" s="17" t="s">
        <v>106</v>
      </c>
      <c r="H27" s="18" t="s">
        <v>107</v>
      </c>
      <c r="I27" s="64"/>
      <c r="J27" s="36"/>
    </row>
    <row r="28">
      <c r="A28" s="37">
        <f t="shared" si="1"/>
        <v>18</v>
      </c>
      <c r="B28" s="46" t="s">
        <v>78</v>
      </c>
      <c r="C28" s="46" t="s">
        <v>95</v>
      </c>
      <c r="D28" s="65">
        <v>3.0</v>
      </c>
      <c r="E28" s="48" t="s">
        <v>108</v>
      </c>
      <c r="F28" s="49" t="s">
        <v>109</v>
      </c>
      <c r="G28" s="50" t="s">
        <v>110</v>
      </c>
      <c r="H28" s="27" t="s">
        <v>46</v>
      </c>
      <c r="I28" s="53"/>
      <c r="J28" s="29"/>
    </row>
    <row r="29">
      <c r="A29" s="39">
        <f t="shared" si="1"/>
        <v>19</v>
      </c>
      <c r="B29" s="31" t="s">
        <v>42</v>
      </c>
      <c r="C29" s="31" t="s">
        <v>95</v>
      </c>
      <c r="D29" s="32">
        <v>2.0</v>
      </c>
      <c r="E29" s="33" t="s">
        <v>111</v>
      </c>
      <c r="F29" s="34" t="s">
        <v>112</v>
      </c>
      <c r="G29" s="35" t="s">
        <v>113</v>
      </c>
      <c r="H29" s="18" t="s">
        <v>46</v>
      </c>
      <c r="I29" s="64"/>
      <c r="J29" s="36"/>
    </row>
    <row r="30">
      <c r="A30" s="37">
        <f t="shared" si="1"/>
        <v>20</v>
      </c>
      <c r="B30" s="46" t="s">
        <v>42</v>
      </c>
      <c r="C30" s="46" t="s">
        <v>95</v>
      </c>
      <c r="D30" s="59">
        <v>4.0</v>
      </c>
      <c r="E30" s="48" t="s">
        <v>114</v>
      </c>
      <c r="F30" s="49" t="s">
        <v>115</v>
      </c>
      <c r="G30" s="50" t="s">
        <v>116</v>
      </c>
      <c r="H30" s="27" t="s">
        <v>52</v>
      </c>
      <c r="I30" s="53"/>
      <c r="J30" s="29"/>
    </row>
    <row r="31">
      <c r="A31" s="39">
        <f t="shared" si="1"/>
        <v>21</v>
      </c>
      <c r="B31" s="13" t="s">
        <v>117</v>
      </c>
      <c r="C31" s="13" t="s">
        <v>95</v>
      </c>
      <c r="D31" s="40">
        <v>1.0</v>
      </c>
      <c r="E31" s="15" t="s">
        <v>118</v>
      </c>
      <c r="F31" s="16" t="s">
        <v>119</v>
      </c>
      <c r="G31" s="66" t="s">
        <v>120</v>
      </c>
      <c r="H31" s="42" t="s">
        <v>52</v>
      </c>
      <c r="I31" s="67"/>
      <c r="J31" s="44"/>
    </row>
    <row r="32">
      <c r="A32" s="37">
        <f t="shared" si="1"/>
        <v>22</v>
      </c>
      <c r="B32" s="22" t="s">
        <v>78</v>
      </c>
      <c r="C32" s="22" t="s">
        <v>95</v>
      </c>
      <c r="D32" s="38">
        <v>3.0</v>
      </c>
      <c r="E32" s="24" t="s">
        <v>121</v>
      </c>
      <c r="F32" s="25" t="s">
        <v>122</v>
      </c>
      <c r="G32" s="26" t="s">
        <v>123</v>
      </c>
      <c r="H32" s="68" t="s">
        <v>52</v>
      </c>
      <c r="I32" s="69"/>
      <c r="J32" s="70"/>
    </row>
    <row r="33">
      <c r="A33" s="12">
        <f t="shared" si="1"/>
        <v>23</v>
      </c>
      <c r="B33" s="71" t="s">
        <v>42</v>
      </c>
      <c r="C33" s="13" t="s">
        <v>124</v>
      </c>
      <c r="D33" s="72">
        <v>2.0</v>
      </c>
      <c r="E33" s="15" t="s">
        <v>125</v>
      </c>
      <c r="F33" s="16" t="s">
        <v>126</v>
      </c>
      <c r="G33" s="17" t="s">
        <v>127</v>
      </c>
      <c r="H33" s="18" t="s">
        <v>99</v>
      </c>
      <c r="I33" s="64"/>
      <c r="J33" s="36"/>
    </row>
    <row r="34">
      <c r="A34" s="21">
        <f t="shared" si="1"/>
        <v>24</v>
      </c>
      <c r="B34" s="22" t="s">
        <v>42</v>
      </c>
      <c r="C34" s="22" t="s">
        <v>124</v>
      </c>
      <c r="D34" s="73">
        <v>1.0</v>
      </c>
      <c r="E34" s="24" t="s">
        <v>128</v>
      </c>
      <c r="F34" s="25" t="s">
        <v>129</v>
      </c>
      <c r="G34" s="26" t="s">
        <v>130</v>
      </c>
      <c r="H34" s="27" t="s">
        <v>99</v>
      </c>
      <c r="I34" s="53"/>
      <c r="J34" s="29"/>
    </row>
    <row r="35">
      <c r="A35" s="30">
        <f t="shared" si="1"/>
        <v>25</v>
      </c>
      <c r="B35" s="22" t="s">
        <v>60</v>
      </c>
      <c r="C35" s="22" t="s">
        <v>124</v>
      </c>
      <c r="D35" s="74">
        <v>1.0</v>
      </c>
      <c r="E35" s="24" t="s">
        <v>131</v>
      </c>
      <c r="F35" s="25" t="s">
        <v>132</v>
      </c>
      <c r="G35" s="26" t="s">
        <v>133</v>
      </c>
      <c r="H35" s="18" t="s">
        <v>134</v>
      </c>
      <c r="I35" s="64"/>
      <c r="J35" s="36"/>
    </row>
    <row r="36">
      <c r="A36" s="45">
        <f t="shared" si="1"/>
        <v>26</v>
      </c>
      <c r="B36" s="46" t="s">
        <v>135</v>
      </c>
      <c r="C36" s="46" t="s">
        <v>124</v>
      </c>
      <c r="D36" s="47">
        <v>3.0</v>
      </c>
      <c r="E36" s="48" t="s">
        <v>136</v>
      </c>
      <c r="F36" s="49" t="s">
        <v>137</v>
      </c>
      <c r="G36" s="50" t="s">
        <v>138</v>
      </c>
      <c r="H36" s="27" t="s">
        <v>99</v>
      </c>
      <c r="I36" s="53"/>
      <c r="J36" s="29"/>
    </row>
    <row r="37">
      <c r="A37" s="30">
        <f t="shared" si="1"/>
        <v>27</v>
      </c>
      <c r="B37" s="31" t="s">
        <v>31</v>
      </c>
      <c r="C37" s="31" t="s">
        <v>124</v>
      </c>
      <c r="D37" s="75">
        <v>2.0</v>
      </c>
      <c r="E37" s="33" t="s">
        <v>139</v>
      </c>
      <c r="F37" s="34" t="s">
        <v>140</v>
      </c>
      <c r="G37" s="35" t="s">
        <v>141</v>
      </c>
      <c r="H37" s="18" t="s">
        <v>142</v>
      </c>
      <c r="I37" s="64"/>
      <c r="J37" s="36"/>
    </row>
    <row r="38">
      <c r="A38" s="45">
        <f t="shared" si="1"/>
        <v>28</v>
      </c>
      <c r="B38" s="13" t="s">
        <v>135</v>
      </c>
      <c r="C38" s="13" t="s">
        <v>124</v>
      </c>
      <c r="D38" s="76">
        <v>2.0</v>
      </c>
      <c r="E38" s="15" t="s">
        <v>143</v>
      </c>
      <c r="F38" s="16" t="s">
        <v>144</v>
      </c>
      <c r="G38" s="17" t="s">
        <v>145</v>
      </c>
      <c r="H38" s="27" t="s">
        <v>99</v>
      </c>
      <c r="I38" s="53"/>
      <c r="J38" s="29"/>
    </row>
    <row r="39">
      <c r="A39" s="30">
        <f t="shared" si="1"/>
        <v>29</v>
      </c>
      <c r="B39" s="22" t="s">
        <v>42</v>
      </c>
      <c r="C39" s="22" t="s">
        <v>124</v>
      </c>
      <c r="D39" s="77">
        <v>2.0</v>
      </c>
      <c r="E39" s="24" t="s">
        <v>146</v>
      </c>
      <c r="F39" s="78" t="s">
        <v>147</v>
      </c>
      <c r="G39" s="79" t="s">
        <v>148</v>
      </c>
      <c r="H39" s="18" t="s">
        <v>35</v>
      </c>
      <c r="I39" s="64"/>
      <c r="J39" s="36"/>
    </row>
    <row r="40">
      <c r="A40" s="21">
        <f t="shared" si="1"/>
        <v>30</v>
      </c>
      <c r="B40" s="31" t="s">
        <v>54</v>
      </c>
      <c r="C40" s="31" t="s">
        <v>124</v>
      </c>
      <c r="D40" s="55">
        <v>3.0</v>
      </c>
      <c r="E40" s="33" t="s">
        <v>149</v>
      </c>
      <c r="F40" s="34" t="s">
        <v>150</v>
      </c>
      <c r="G40" s="35" t="s">
        <v>151</v>
      </c>
      <c r="H40" s="27" t="s">
        <v>99</v>
      </c>
      <c r="I40" s="53"/>
      <c r="J40" s="29"/>
    </row>
    <row r="41">
      <c r="A41" s="12">
        <f t="shared" si="1"/>
        <v>31</v>
      </c>
      <c r="B41" s="13" t="s">
        <v>135</v>
      </c>
      <c r="C41" s="13" t="s">
        <v>124</v>
      </c>
      <c r="D41" s="60">
        <v>3.0</v>
      </c>
      <c r="E41" s="15" t="s">
        <v>152</v>
      </c>
      <c r="F41" s="16" t="s">
        <v>153</v>
      </c>
      <c r="G41" s="17" t="s">
        <v>154</v>
      </c>
      <c r="H41" s="18" t="s">
        <v>99</v>
      </c>
      <c r="I41" s="64"/>
      <c r="J41" s="36"/>
    </row>
    <row r="42">
      <c r="A42" s="37">
        <f t="shared" si="1"/>
        <v>32</v>
      </c>
      <c r="B42" s="22" t="s">
        <v>42</v>
      </c>
      <c r="C42" s="22" t="s">
        <v>124</v>
      </c>
      <c r="D42" s="57">
        <v>1.0</v>
      </c>
      <c r="E42" s="24" t="s">
        <v>155</v>
      </c>
      <c r="F42" s="25" t="s">
        <v>156</v>
      </c>
      <c r="G42" s="26" t="s">
        <v>157</v>
      </c>
      <c r="H42" s="27" t="s">
        <v>46</v>
      </c>
      <c r="I42" s="53"/>
      <c r="J42" s="29"/>
      <c r="K42" s="80"/>
      <c r="L42" s="80"/>
      <c r="M42" s="80"/>
      <c r="N42" s="80"/>
      <c r="O42" s="80"/>
      <c r="P42" s="80"/>
      <c r="Q42" s="80"/>
      <c r="R42" s="80"/>
      <c r="S42" s="80"/>
      <c r="T42" s="80"/>
      <c r="U42" s="80"/>
      <c r="V42" s="80"/>
      <c r="W42" s="80"/>
      <c r="X42" s="80"/>
      <c r="Y42" s="80"/>
      <c r="Z42" s="80"/>
      <c r="AA42" s="80"/>
      <c r="AB42" s="80"/>
      <c r="AC42" s="80"/>
      <c r="AD42" s="80"/>
      <c r="AE42" s="80"/>
    </row>
    <row r="43">
      <c r="A43" s="39">
        <f t="shared" si="1"/>
        <v>33</v>
      </c>
      <c r="B43" s="46" t="s">
        <v>37</v>
      </c>
      <c r="C43" s="46" t="s">
        <v>124</v>
      </c>
      <c r="D43" s="56">
        <v>2.0</v>
      </c>
      <c r="E43" s="48" t="s">
        <v>158</v>
      </c>
      <c r="F43" s="49" t="s">
        <v>159</v>
      </c>
      <c r="G43" s="50" t="s">
        <v>160</v>
      </c>
      <c r="H43" s="18" t="s">
        <v>46</v>
      </c>
      <c r="I43" s="64"/>
      <c r="J43" s="36"/>
      <c r="K43" s="80"/>
      <c r="L43" s="80"/>
      <c r="M43" s="80"/>
      <c r="N43" s="80"/>
      <c r="O43" s="80"/>
      <c r="P43" s="80"/>
      <c r="Q43" s="80"/>
      <c r="R43" s="80"/>
      <c r="S43" s="80"/>
      <c r="T43" s="80"/>
      <c r="U43" s="80"/>
      <c r="V43" s="80"/>
      <c r="W43" s="80"/>
      <c r="X43" s="80"/>
      <c r="Y43" s="80"/>
      <c r="Z43" s="80"/>
      <c r="AA43" s="80"/>
      <c r="AB43" s="80"/>
      <c r="AC43" s="80"/>
      <c r="AD43" s="80"/>
      <c r="AE43" s="80"/>
    </row>
    <row r="44">
      <c r="A44" s="37">
        <f t="shared" si="1"/>
        <v>34</v>
      </c>
      <c r="B44" s="13" t="s">
        <v>37</v>
      </c>
      <c r="C44" s="13" t="s">
        <v>124</v>
      </c>
      <c r="D44" s="14">
        <v>2.0</v>
      </c>
      <c r="E44" s="15" t="s">
        <v>161</v>
      </c>
      <c r="F44" s="16" t="s">
        <v>162</v>
      </c>
      <c r="G44" s="17" t="s">
        <v>163</v>
      </c>
      <c r="H44" s="27" t="s">
        <v>46</v>
      </c>
      <c r="I44" s="53"/>
      <c r="J44" s="29"/>
      <c r="K44" s="80"/>
      <c r="L44" s="80"/>
      <c r="M44" s="80"/>
      <c r="N44" s="80"/>
      <c r="O44" s="80"/>
      <c r="P44" s="80"/>
      <c r="Q44" s="80"/>
      <c r="R44" s="80"/>
      <c r="S44" s="80"/>
      <c r="T44" s="80"/>
      <c r="U44" s="80"/>
      <c r="V44" s="80"/>
      <c r="W44" s="80"/>
      <c r="X44" s="80"/>
      <c r="Y44" s="80"/>
      <c r="Z44" s="80"/>
      <c r="AA44" s="80"/>
      <c r="AB44" s="80"/>
      <c r="AC44" s="80"/>
      <c r="AD44" s="80"/>
      <c r="AE44" s="80"/>
    </row>
    <row r="45">
      <c r="A45" s="39">
        <f t="shared" si="1"/>
        <v>35</v>
      </c>
      <c r="B45" s="22" t="s">
        <v>42</v>
      </c>
      <c r="C45" s="22" t="s">
        <v>124</v>
      </c>
      <c r="D45" s="57">
        <v>1.0</v>
      </c>
      <c r="E45" s="24" t="s">
        <v>164</v>
      </c>
      <c r="F45" s="25" t="s">
        <v>165</v>
      </c>
      <c r="G45" s="26" t="s">
        <v>166</v>
      </c>
      <c r="H45" s="18" t="s">
        <v>46</v>
      </c>
      <c r="I45" s="64"/>
      <c r="J45" s="36"/>
      <c r="K45" s="80"/>
      <c r="L45" s="80"/>
      <c r="M45" s="80"/>
      <c r="N45" s="80"/>
      <c r="O45" s="80"/>
      <c r="P45" s="80"/>
      <c r="Q45" s="80"/>
      <c r="R45" s="80"/>
      <c r="S45" s="80"/>
      <c r="T45" s="80"/>
      <c r="U45" s="80"/>
      <c r="V45" s="80"/>
      <c r="W45" s="80"/>
      <c r="X45" s="80"/>
      <c r="Y45" s="80"/>
      <c r="Z45" s="80"/>
      <c r="AA45" s="80"/>
      <c r="AB45" s="80"/>
      <c r="AC45" s="80"/>
      <c r="AD45" s="80"/>
      <c r="AE45" s="80"/>
    </row>
    <row r="46">
      <c r="A46" s="81">
        <f t="shared" si="1"/>
        <v>36</v>
      </c>
      <c r="B46" s="82" t="s">
        <v>37</v>
      </c>
      <c r="C46" s="31" t="s">
        <v>124</v>
      </c>
      <c r="D46" s="83">
        <v>3.0</v>
      </c>
      <c r="E46" s="84" t="s">
        <v>167</v>
      </c>
      <c r="F46" s="34" t="s">
        <v>168</v>
      </c>
      <c r="G46" s="35" t="s">
        <v>169</v>
      </c>
      <c r="H46" s="85" t="s">
        <v>170</v>
      </c>
      <c r="I46" s="86"/>
      <c r="J46" s="87"/>
      <c r="K46" s="80"/>
      <c r="L46" s="80"/>
      <c r="M46" s="80"/>
      <c r="N46" s="80"/>
      <c r="O46" s="80"/>
      <c r="P46" s="80"/>
      <c r="Q46" s="80"/>
      <c r="R46" s="80"/>
      <c r="S46" s="80"/>
      <c r="T46" s="80"/>
      <c r="U46" s="80"/>
      <c r="V46" s="80"/>
      <c r="W46" s="80"/>
      <c r="X46" s="80"/>
      <c r="Y46" s="80"/>
      <c r="Z46" s="80"/>
      <c r="AA46" s="80"/>
      <c r="AB46" s="80"/>
      <c r="AC46" s="80"/>
      <c r="AD46" s="80"/>
      <c r="AE46" s="80"/>
    </row>
  </sheetData>
  <customSheetViews>
    <customSheetView guid="{3C9F642B-C02F-4E11-8774-9344B2AAE67B}" filter="1" showAutoFilter="1">
      <autoFilter ref="$A$10:$J$46"/>
    </customSheetView>
    <customSheetView guid="{AB8D9E21-C8F0-4FAF-9C3D-192A3A13A71E}" filter="1" showAutoFilter="1">
      <autoFilter ref="$A$10:$J$46"/>
    </customSheetView>
  </customSheetViews>
  <mergeCells count="2">
    <mergeCell ref="B1:E1"/>
    <mergeCell ref="D3:E3"/>
  </mergeCells>
  <dataValidations>
    <dataValidation type="list" allowBlank="1" sqref="B11:B46">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46">
      <formula1>"0,1,2,3,4"</formula1>
    </dataValidation>
    <dataValidation type="list" allowBlank="1" sqref="H11:H46">
      <formula1>"A,B,C,D"</formula1>
    </dataValidation>
    <dataValidation type="list" allowBlank="1" sqref="C11:C46">
      <formula1>"1. Simple Task,2. Moderate Task,3. Complex Task,4. All Tasks,5. Extra Violations"</formula1>
    </dataValidation>
  </dataValidations>
  <printOptions gridLines="1" horizontalCentered="1"/>
  <pageMargins bottom="0.75" footer="0.0" header="0.0" left="0.7" right="0.7" top="0.75"/>
  <pageSetup fitToHeight="0" cellComments="atEnd" orientation="landscape" pageOrder="overThenDown"/>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88" t="s">
        <v>171</v>
      </c>
      <c r="B1" s="89" t="s">
        <v>172</v>
      </c>
      <c r="C1" s="89" t="s">
        <v>173</v>
      </c>
      <c r="D1" s="89" t="s">
        <v>174</v>
      </c>
      <c r="E1" s="89" t="s">
        <v>175</v>
      </c>
      <c r="F1" s="89" t="s">
        <v>176</v>
      </c>
      <c r="G1" s="90" t="s">
        <v>177</v>
      </c>
      <c r="I1" s="91"/>
      <c r="J1" s="91"/>
      <c r="K1" s="91"/>
      <c r="L1" s="91"/>
    </row>
    <row r="2">
      <c r="A2" s="92" t="s">
        <v>31</v>
      </c>
      <c r="B2" s="93">
        <f>COUNTIFS('Group Heuristic Evaluation'!B:B, "H1: Visibility of System Status", 'Group Heuristic Evaluation'!D:D, 0)</f>
        <v>0</v>
      </c>
      <c r="C2" s="93">
        <f>COUNTIFS('Group Heuristic Evaluation'!B:B, "H1: Visibility of System Status", 'Group Heuristic Evaluation'!D:D, 1)</f>
        <v>0</v>
      </c>
      <c r="D2" s="94">
        <f>COUNTIFS('Group Heuristic Evaluation'!B:B, "H1: Visibility of System Status", 'Group Heuristic Evaluation'!D:D, 2)</f>
        <v>3</v>
      </c>
      <c r="E2" s="94">
        <f>COUNTIFS('Group Heuristic Evaluation'!B:B, "H1: Visibility of System Status", 'Group Heuristic Evaluation'!D:D, 3)</f>
        <v>0</v>
      </c>
      <c r="F2" s="94">
        <f>COUNTIFS('Group Heuristic Evaluation'!B:B, "H1: Visibility of System Status", 'Group Heuristic Evaluation'!D:D, 4)</f>
        <v>0</v>
      </c>
      <c r="G2" s="95">
        <f t="shared" ref="G2:G5" si="1">SUM(B2:F2)</f>
        <v>3</v>
      </c>
      <c r="I2" s="91"/>
      <c r="J2" s="91"/>
      <c r="K2" s="91"/>
      <c r="L2" s="91"/>
    </row>
    <row r="3">
      <c r="A3" s="96" t="s">
        <v>37</v>
      </c>
      <c r="B3" s="93">
        <f>COUNTIFS('Group Heuristic Evaluation'!B:B, "H2: Match b/w System &amp; World", 'Group Heuristic Evaluation'!D:D, 0)</f>
        <v>0</v>
      </c>
      <c r="C3" s="94">
        <f>COUNTIFS('Group Heuristic Evaluation'!B:B, "H2: Match b/w System &amp; World", 'Group Heuristic Evaluation'!D:D, 1)</f>
        <v>0</v>
      </c>
      <c r="D3" s="94">
        <f>COUNTIFS('Group Heuristic Evaluation'!B:B, "H2: Match b/w System &amp; World", 'Group Heuristic Evaluation'!D:D, 2)</f>
        <v>3</v>
      </c>
      <c r="E3" s="94">
        <f>COUNTIFS('Group Heuristic Evaluation'!B:B, "H2: Match b/w System &amp; World", 'Group Heuristic Evaluation'!D:D, 3)</f>
        <v>1</v>
      </c>
      <c r="F3" s="94">
        <f>COUNTIFS('Group Heuristic Evaluation'!B:B, "H2: Match b/w System &amp; World", 'Group Heuristic Evaluation'!D:D, 4)</f>
        <v>1</v>
      </c>
      <c r="G3" s="97">
        <f t="shared" si="1"/>
        <v>5</v>
      </c>
      <c r="I3" s="91"/>
      <c r="J3" s="91"/>
      <c r="K3" s="91"/>
      <c r="L3" s="91"/>
    </row>
    <row r="4">
      <c r="A4" s="96" t="s">
        <v>135</v>
      </c>
      <c r="B4" s="93">
        <f>COUNTIFS('Group Heuristic Evaluation'!B:B, "H3: User Control &amp; Freedom", 'Group Heuristic Evaluation'!D:D, 0)</f>
        <v>0</v>
      </c>
      <c r="C4" s="94">
        <f>COUNTIFS('Group Heuristic Evaluation'!B:B, "H3: User Control &amp; Freedom", 'Group Heuristic Evaluation'!D:D, 1)</f>
        <v>0</v>
      </c>
      <c r="D4" s="94">
        <f>COUNTIFS('Group Heuristic Evaluation'!B:B, "H3: User Control &amp; Freedom", 'Group Heuristic Evaluation'!D:D, 2)</f>
        <v>1</v>
      </c>
      <c r="E4" s="94">
        <f>COUNTIFS('Group Heuristic Evaluation'!B:B, "H3: User Control &amp; Freedom", 'Group Heuristic Evaluation'!D:D, 3)</f>
        <v>2</v>
      </c>
      <c r="F4" s="94">
        <f>COUNTIFS('Group Heuristic Evaluation'!B:B, "H3: User Control &amp; Freedom", 'Group Heuristic Evaluation'!D:D, 4)</f>
        <v>0</v>
      </c>
      <c r="G4" s="97">
        <f t="shared" si="1"/>
        <v>3</v>
      </c>
      <c r="I4" s="91"/>
      <c r="J4" s="91"/>
      <c r="K4" s="91"/>
      <c r="L4" s="91"/>
    </row>
    <row r="5">
      <c r="A5" s="96" t="s">
        <v>42</v>
      </c>
      <c r="B5" s="93">
        <f>COUNTIFS('Group Heuristic Evaluation'!B:B, "H4: Consistency &amp; Standards", 'Group Heuristic Evaluation'!D:D, 0)</f>
        <v>0</v>
      </c>
      <c r="C5" s="94">
        <f>COUNTIFS('Group Heuristic Evaluation'!B:B, "H4: Consistency &amp; Standards", 'Group Heuristic Evaluation'!D:D, 1)</f>
        <v>4</v>
      </c>
      <c r="D5" s="94">
        <f>COUNTIFS('Group Heuristic Evaluation'!B:B, "H4: Consistency &amp; Standards", 'Group Heuristic Evaluation'!D:D, 2)</f>
        <v>4</v>
      </c>
      <c r="E5" s="94">
        <f>COUNTIFS('Group Heuristic Evaluation'!B:B, "H4: Consistency &amp; Standards", 'Group Heuristic Evaluation'!D:D, 3)</f>
        <v>1</v>
      </c>
      <c r="F5" s="94">
        <f>COUNTIFS('Group Heuristic Evaluation'!B:B, "H4: Consistency &amp; Standards", 'Group Heuristic Evaluation'!D:D, 4)</f>
        <v>1</v>
      </c>
      <c r="G5" s="97">
        <f t="shared" si="1"/>
        <v>10</v>
      </c>
      <c r="I5" s="91"/>
      <c r="J5" s="91"/>
      <c r="K5" s="91"/>
      <c r="L5" s="91"/>
    </row>
    <row r="6">
      <c r="A6" s="96" t="s">
        <v>54</v>
      </c>
      <c r="B6" s="93">
        <f>COUNTIFS('Group Heuristic Evaluation'!B:B, "H5: Error Prevention", 'Group Heuristic Evaluation'!D:D, 0)</f>
        <v>0</v>
      </c>
      <c r="C6" s="94">
        <f>COUNTIFS('Group Heuristic Evaluation'!B:B, "H5: Error Prevention", 'Group Heuristic Evaluation'!D:D, 1)</f>
        <v>0</v>
      </c>
      <c r="D6" s="94">
        <f>COUNTIFS('Group Heuristic Evaluation'!B:B, "H5: Error Prevention", 'Group Heuristic Evaluation'!D:D, 2)</f>
        <v>0</v>
      </c>
      <c r="E6" s="94">
        <f>COUNTIFS('Group Heuristic Evaluation'!B:B, "H5: Error Prevention", 'Group Heuristic Evaluation'!D:D, 3)</f>
        <v>2</v>
      </c>
      <c r="F6" s="94">
        <f>COUNTIFS('Group Heuristic Evaluation'!B:B, "H5: Error Prevention", 'Group Heuristic Evaluation'!D:D, 4)</f>
        <v>0</v>
      </c>
      <c r="G6" s="97">
        <f>SUM(C6:F6)</f>
        <v>2</v>
      </c>
      <c r="I6" s="91"/>
      <c r="J6" s="91"/>
      <c r="K6" s="91"/>
      <c r="L6" s="91"/>
    </row>
    <row r="7">
      <c r="A7" s="96" t="s">
        <v>24</v>
      </c>
      <c r="B7" s="93">
        <f>COUNTIFS('Group Heuristic Evaluation'!B:B, "H6: Recognition not Recall", 'Group Heuristic Evaluation'!D:D, 0)</f>
        <v>0</v>
      </c>
      <c r="C7" s="94">
        <f>COUNTIFS('Group Heuristic Evaluation'!B:B, "H6: Recognition not Recall", 'Group Heuristic Evaluation'!D:D, 1)</f>
        <v>0</v>
      </c>
      <c r="D7" s="94">
        <f>COUNTIFS('Group Heuristic Evaluation'!B:B, "H6: Recognition not Recall", 'Group Heuristic Evaluation'!D:D, 2)</f>
        <v>1</v>
      </c>
      <c r="E7" s="94">
        <f>COUNTIFS('Group Heuristic Evaluation'!B:B, "H6: Recognition not Recall", 'Group Heuristic Evaluation'!D:D, 3)</f>
        <v>2</v>
      </c>
      <c r="F7" s="94">
        <f>COUNTIFS('Group Heuristic Evaluation'!B:B, "H6: Recognition not Recall", 'Group Heuristic Evaluation'!D:D, 4)</f>
        <v>0</v>
      </c>
      <c r="G7" s="97">
        <f t="shared" ref="G7:G13" si="2">SUM(B7:F7)</f>
        <v>3</v>
      </c>
      <c r="I7" s="91"/>
      <c r="J7" s="91"/>
      <c r="K7" s="91"/>
      <c r="L7" s="91"/>
    </row>
    <row r="8">
      <c r="A8" s="96" t="s">
        <v>178</v>
      </c>
      <c r="B8" s="93">
        <f>COUNTIFS('Group Heuristic Evaluation'!B:B, "H7: Flexibility &amp; Efficiency of Use", 'Group Heuristic Evaluation'!D:D, 0)</f>
        <v>0</v>
      </c>
      <c r="C8" s="94">
        <f>COUNTIFS('Group Heuristic Evaluation'!B:B, "H7: Flexibility &amp; Efficiency of Use", 'Group Heuristic Evaluation'!D:D, 1)</f>
        <v>0</v>
      </c>
      <c r="D8" s="94">
        <f>COUNTIFS('Group Heuristic Evaluation'!B:B, "H7: Flexibility &amp; Efficiency of Use", 'Group Heuristic Evaluation'!D:D, 2)</f>
        <v>0</v>
      </c>
      <c r="E8" s="94">
        <f>COUNTIFS('Group Heuristic Evaluation'!B:B, "H7: Flexibility &amp; Efficiency of Use", 'Group Heuristic Evaluation'!D:D, 3)</f>
        <v>0</v>
      </c>
      <c r="F8" s="94">
        <f>COUNTIFS('Group Heuristic Evaluation'!B:B, "H7: Flexibility &amp; Efficiency of Use", 'Group Heuristic Evaluation'!D:D, 4)</f>
        <v>0</v>
      </c>
      <c r="G8" s="97">
        <f t="shared" si="2"/>
        <v>0</v>
      </c>
      <c r="I8" s="91"/>
      <c r="J8" s="91"/>
      <c r="K8" s="91"/>
      <c r="L8" s="91"/>
    </row>
    <row r="9">
      <c r="A9" s="96" t="s">
        <v>60</v>
      </c>
      <c r="B9" s="93">
        <f>COUNTIFS('Group Heuristic Evaluation'!B:B, "H8: Aesthetic &amp; Minimalist Design", 'Group Heuristic Evaluation'!D:D, 0)</f>
        <v>0</v>
      </c>
      <c r="C9" s="98">
        <f>COUNTIFS('Group Heuristic Evaluation'!B:B, "H8: Aesthetic &amp; Minimalist Design", 'Group Heuristic Evaluation'!D:D, 1)</f>
        <v>4</v>
      </c>
      <c r="D9" s="98">
        <f>COUNTIFS('Group Heuristic Evaluation'!B:B, "H8: Aesthetic &amp; Minimalist Design", 'Group Heuristic Evaluation'!D:D, 2)</f>
        <v>0</v>
      </c>
      <c r="E9" s="98">
        <f>COUNTIFS('Group Heuristic Evaluation'!B:B, "H8: Aesthetic &amp; Minimalist Design", 'Group Heuristic Evaluation'!D:D, 3)</f>
        <v>0</v>
      </c>
      <c r="F9" s="98">
        <f>COUNTIFS('Group Heuristic Evaluation'!B:B, "H8: Aesthetic &amp; Minimalist Design", 'Group Heuristic Evaluation'!D:D, 4)</f>
        <v>0</v>
      </c>
      <c r="G9" s="97">
        <f t="shared" si="2"/>
        <v>4</v>
      </c>
      <c r="I9" s="91"/>
      <c r="J9" s="91"/>
      <c r="K9" s="91"/>
      <c r="L9" s="91"/>
    </row>
    <row r="10">
      <c r="A10" s="96" t="s">
        <v>179</v>
      </c>
      <c r="B10" s="93">
        <f>COUNTIFS('Group Heuristic Evaluation'!B:B, "H9: Help Users with Errors", 'Group Heuristic Evaluation'!D:D, 0)</f>
        <v>0</v>
      </c>
      <c r="C10" s="98">
        <f>COUNTIFS('Group Heuristic Evaluation'!B:B, "H9: Help Users with Errors", 'Group Heuristic Evaluation'!D:D, 1)</f>
        <v>0</v>
      </c>
      <c r="D10" s="98">
        <f>COUNTIFS('Group Heuristic Evaluation'!B:B, "H9: Help Users with Errors", 'Group Heuristic Evaluation'!D:D, 2)</f>
        <v>0</v>
      </c>
      <c r="E10" s="98">
        <f>COUNTIFS('Group Heuristic Evaluation'!B:B, "H9: Help Users with Errors", 'Group Heuristic Evaluation'!D:D, 3)</f>
        <v>0</v>
      </c>
      <c r="F10" s="98">
        <f>COUNTIFS('Group Heuristic Evaluation'!B:B, "H9: Help Users with Errors", 'Group Heuristic Evaluation'!D:D, 4)</f>
        <v>0</v>
      </c>
      <c r="G10" s="97">
        <f t="shared" si="2"/>
        <v>0</v>
      </c>
      <c r="I10" s="91"/>
      <c r="J10" s="91"/>
      <c r="K10" s="91"/>
      <c r="L10" s="91"/>
    </row>
    <row r="11">
      <c r="A11" s="96" t="s">
        <v>48</v>
      </c>
      <c r="B11" s="93">
        <f>COUNTIFS('Group Heuristic Evaluation'!B:B, "H10: Help &amp; Documentation", 'Group Heuristic Evaluation'!D:D, 0)</f>
        <v>0</v>
      </c>
      <c r="C11" s="98">
        <f>COUNTIFS('Group Heuristic Evaluation'!B:B, "H10: Help &amp; Documentation", 'Group Heuristic Evaluation'!D:D, 1)</f>
        <v>1</v>
      </c>
      <c r="D11" s="98">
        <f>COUNTIFS('Group Heuristic Evaluation'!B:B, "H10: Help &amp; Documentation", 'Group Heuristic Evaluation'!D:D, 2)</f>
        <v>0</v>
      </c>
      <c r="E11" s="98">
        <f>COUNTIFS('Group Heuristic Evaluation'!B:B, "H10: Help &amp; Documentation", 'Group Heuristic Evaluation'!D:D, 3)</f>
        <v>0</v>
      </c>
      <c r="F11" s="98">
        <f>COUNTIFS('Group Heuristic Evaluation'!B:B, "H10: Help &amp; Documentation", 'Group Heuristic Evaluation'!D:D, 4)</f>
        <v>0</v>
      </c>
      <c r="G11" s="97">
        <f t="shared" si="2"/>
        <v>1</v>
      </c>
      <c r="I11" s="91"/>
      <c r="J11" s="91"/>
      <c r="K11" s="91"/>
      <c r="L11" s="91"/>
    </row>
    <row r="12">
      <c r="A12" s="96" t="s">
        <v>78</v>
      </c>
      <c r="B12" s="93">
        <f>COUNTIFS('Group Heuristic Evaluation'!B:B, "H11: Accessible Design", 'Group Heuristic Evaluation'!D:D, 0)</f>
        <v>0</v>
      </c>
      <c r="C12" s="98">
        <f>COUNTIFS('Group Heuristic Evaluation'!B:B, "H11: Accessible Design", 'Group Heuristic Evaluation'!D:D, 1)</f>
        <v>0</v>
      </c>
      <c r="D12" s="98">
        <f>COUNTIFS('Group Heuristic Evaluation'!B:B, "H11: Accessible Design", 'Group Heuristic Evaluation'!D:D, 2)</f>
        <v>0</v>
      </c>
      <c r="E12" s="98">
        <f>COUNTIFS('Group Heuristic Evaluation'!B:B, "H11: Accessible Design", 'Group Heuristic Evaluation'!D:D, 3)</f>
        <v>4</v>
      </c>
      <c r="F12" s="98">
        <f>COUNTIFS('Group Heuristic Evaluation'!B:B, "H11: Accessible Design", 'Group Heuristic Evaluation'!D:D, 4)</f>
        <v>0</v>
      </c>
      <c r="G12" s="97">
        <f t="shared" si="2"/>
        <v>4</v>
      </c>
      <c r="I12" s="91"/>
      <c r="J12" s="91"/>
      <c r="K12" s="91"/>
      <c r="L12" s="91"/>
    </row>
    <row r="13">
      <c r="A13" s="96" t="s">
        <v>180</v>
      </c>
      <c r="B13" s="93">
        <f>COUNTIFS('Group Heuristic Evaluation'!B:B, "H12: Value Alignment &amp; Inclusion", 'Group Heuristic Evaluation'!D:D, 0)</f>
        <v>0</v>
      </c>
      <c r="C13" s="98">
        <f>COUNTIFS('Group Heuristic Evaluation'!B:B, "H12: Value Alignment &amp; Inclusion", 'Group Heuristic Evaluation'!D:D, 1)</f>
        <v>1</v>
      </c>
      <c r="D13" s="98">
        <f>COUNTIFS('Group Heuristic Evaluation'!B:B, "H12: Value Alignment &amp; Inclusion", 'Group Heuristic Evaluation'!D:D, 2)</f>
        <v>0</v>
      </c>
      <c r="E13" s="98">
        <f>COUNTIFS('Group Heuristic Evaluation'!B:B, "H12: Value Alignment &amp; Inclusion", 'Group Heuristic Evaluation'!D:D, 3)</f>
        <v>0</v>
      </c>
      <c r="F13" s="98">
        <f>COUNTIFS('Group Heuristic Evaluation'!B:B, "H12: Value Alignment &amp; Inclusion", 'Group Heuristic Evaluation'!D:D, 4)</f>
        <v>0</v>
      </c>
      <c r="G13" s="97">
        <f t="shared" si="2"/>
        <v>1</v>
      </c>
      <c r="I13" s="91"/>
      <c r="J13" s="91"/>
      <c r="K13" s="91"/>
      <c r="L13" s="91"/>
    </row>
    <row r="14">
      <c r="A14" s="99" t="s">
        <v>181</v>
      </c>
      <c r="B14" s="100">
        <f>SUM(B2:B13)</f>
        <v>0</v>
      </c>
      <c r="C14" s="100">
        <f t="shared" ref="C14:D14" si="3">SUM(C1:C13)</f>
        <v>10</v>
      </c>
      <c r="D14" s="100">
        <f t="shared" si="3"/>
        <v>12</v>
      </c>
      <c r="E14" s="100">
        <f t="shared" ref="E14:G14" si="4">SUM(E2:E13)</f>
        <v>12</v>
      </c>
      <c r="F14" s="100">
        <f t="shared" si="4"/>
        <v>2</v>
      </c>
      <c r="G14" s="101">
        <f t="shared" si="4"/>
        <v>36</v>
      </c>
      <c r="I14" s="91"/>
      <c r="J14" s="91"/>
      <c r="K14" s="91"/>
      <c r="L14" s="91"/>
    </row>
    <row r="16">
      <c r="A16" s="102"/>
      <c r="B16" s="102"/>
      <c r="C16" s="102"/>
      <c r="D16" s="102"/>
      <c r="E16" s="102"/>
      <c r="F16" s="102"/>
      <c r="G16" s="102"/>
    </row>
    <row r="17">
      <c r="A17" s="102"/>
      <c r="B17" s="102"/>
      <c r="C17" s="102"/>
      <c r="D17" s="102"/>
      <c r="E17" s="102"/>
      <c r="F17" s="102"/>
      <c r="G17" s="102"/>
    </row>
    <row r="18">
      <c r="A18" s="102"/>
      <c r="B18" s="102"/>
      <c r="C18" s="102"/>
      <c r="D18" s="102"/>
      <c r="E18" s="102"/>
      <c r="F18" s="102"/>
      <c r="G18" s="102"/>
    </row>
    <row r="19">
      <c r="A19" s="102"/>
      <c r="B19" s="102"/>
      <c r="C19" s="102"/>
      <c r="D19" s="102"/>
      <c r="E19" s="102"/>
      <c r="F19" s="102"/>
      <c r="G19" s="102"/>
    </row>
    <row r="20">
      <c r="A20" s="102"/>
      <c r="B20" s="102"/>
      <c r="C20" s="102"/>
      <c r="D20" s="102"/>
      <c r="E20" s="102"/>
      <c r="F20" s="102"/>
      <c r="G20" s="102"/>
    </row>
    <row r="21">
      <c r="A21" s="102"/>
      <c r="B21" s="102"/>
      <c r="C21" s="102"/>
      <c r="D21" s="102"/>
      <c r="E21" s="102"/>
      <c r="F21" s="102"/>
      <c r="G21" s="102"/>
    </row>
    <row r="22">
      <c r="A22" s="102"/>
      <c r="B22" s="102"/>
      <c r="C22" s="102"/>
      <c r="D22" s="102"/>
      <c r="E22" s="102"/>
      <c r="F22" s="102"/>
      <c r="G22" s="102"/>
    </row>
    <row r="23">
      <c r="A23" s="102"/>
      <c r="B23" s="102"/>
      <c r="C23" s="102"/>
      <c r="D23" s="102"/>
      <c r="E23" s="102"/>
      <c r="F23" s="102"/>
      <c r="G23" s="102"/>
    </row>
    <row r="24">
      <c r="A24" s="102"/>
      <c r="B24" s="102"/>
      <c r="C24" s="102"/>
      <c r="D24" s="102"/>
      <c r="E24" s="102"/>
      <c r="F24" s="102"/>
      <c r="G24" s="102"/>
    </row>
    <row r="25">
      <c r="A25" s="102"/>
      <c r="B25" s="102"/>
      <c r="C25" s="102"/>
      <c r="D25" s="102"/>
      <c r="E25" s="102"/>
      <c r="F25" s="102"/>
      <c r="G25" s="102"/>
    </row>
    <row r="26">
      <c r="A26" s="102"/>
      <c r="B26" s="102"/>
      <c r="C26" s="102"/>
      <c r="D26" s="102"/>
      <c r="E26" s="102"/>
      <c r="F26" s="102"/>
      <c r="G26" s="102"/>
    </row>
    <row r="27">
      <c r="A27" s="102"/>
      <c r="B27" s="102"/>
      <c r="C27" s="102"/>
      <c r="D27" s="102"/>
      <c r="E27" s="102"/>
      <c r="F27" s="102"/>
      <c r="G27" s="102"/>
    </row>
    <row r="28">
      <c r="A28" s="102"/>
      <c r="B28" s="102"/>
      <c r="C28" s="102"/>
      <c r="D28" s="102"/>
      <c r="E28" s="102"/>
      <c r="F28" s="102"/>
      <c r="G28" s="102"/>
    </row>
    <row r="29">
      <c r="A29" s="102"/>
      <c r="B29" s="102"/>
      <c r="C29" s="102"/>
      <c r="D29" s="102"/>
      <c r="E29" s="102"/>
      <c r="F29" s="102"/>
      <c r="G29" s="102"/>
    </row>
    <row r="32">
      <c r="A32" s="103"/>
      <c r="B32" s="103"/>
      <c r="C32" s="103"/>
      <c r="D32" s="103"/>
      <c r="E32" s="103"/>
      <c r="F32" s="103"/>
      <c r="G32" s="103"/>
    </row>
    <row r="33">
      <c r="A33" s="103"/>
      <c r="B33" s="103"/>
      <c r="C33" s="103"/>
      <c r="D33" s="103"/>
      <c r="E33" s="103"/>
      <c r="F33" s="103"/>
      <c r="G33" s="103"/>
    </row>
    <row r="34">
      <c r="A34" s="103"/>
      <c r="B34" s="103"/>
      <c r="C34" s="103"/>
      <c r="D34" s="103"/>
      <c r="E34" s="103"/>
      <c r="F34" s="103"/>
      <c r="G34" s="103"/>
    </row>
    <row r="35">
      <c r="A35" s="103"/>
      <c r="B35" s="103"/>
      <c r="C35" s="103"/>
      <c r="D35" s="103"/>
      <c r="E35" s="103"/>
      <c r="F35" s="103"/>
      <c r="G35" s="103"/>
    </row>
    <row r="36">
      <c r="A36" s="103"/>
      <c r="B36" s="103"/>
      <c r="C36" s="103"/>
      <c r="D36" s="103"/>
      <c r="E36" s="103"/>
      <c r="F36" s="103"/>
      <c r="G36" s="103"/>
    </row>
    <row r="37">
      <c r="A37" s="103"/>
      <c r="B37" s="103"/>
      <c r="C37" s="103"/>
      <c r="D37" s="103"/>
      <c r="E37" s="103"/>
      <c r="F37" s="103"/>
      <c r="G37" s="103"/>
    </row>
    <row r="38">
      <c r="A38" s="103"/>
      <c r="B38" s="103"/>
      <c r="C38" s="103"/>
      <c r="D38" s="103"/>
      <c r="E38" s="103"/>
      <c r="F38" s="103"/>
      <c r="G38" s="103"/>
    </row>
    <row r="39">
      <c r="A39" s="103"/>
      <c r="B39" s="103"/>
      <c r="C39" s="103"/>
      <c r="D39" s="103"/>
      <c r="E39" s="103"/>
      <c r="F39" s="103"/>
      <c r="G39" s="103"/>
    </row>
    <row r="40">
      <c r="A40" s="103"/>
      <c r="B40" s="103"/>
      <c r="C40" s="103"/>
      <c r="D40" s="103"/>
      <c r="E40" s="103"/>
      <c r="F40" s="103"/>
      <c r="G40" s="103"/>
    </row>
    <row r="41">
      <c r="A41" s="103"/>
      <c r="B41" s="103"/>
      <c r="C41" s="103"/>
      <c r="D41" s="103"/>
      <c r="E41" s="103"/>
      <c r="F41" s="103"/>
      <c r="G41" s="103"/>
    </row>
    <row r="42">
      <c r="A42" s="103"/>
      <c r="B42" s="103"/>
      <c r="C42" s="103"/>
      <c r="D42" s="103"/>
      <c r="E42" s="103"/>
      <c r="F42" s="103"/>
      <c r="G42" s="103"/>
    </row>
    <row r="43">
      <c r="A43" s="103"/>
      <c r="B43" s="103"/>
      <c r="C43" s="103"/>
      <c r="D43" s="103"/>
      <c r="E43" s="103"/>
      <c r="F43" s="103"/>
      <c r="G43" s="103"/>
    </row>
    <row r="44">
      <c r="A44" s="103"/>
      <c r="B44" s="103"/>
      <c r="C44" s="103"/>
      <c r="D44" s="103"/>
      <c r="E44" s="103"/>
      <c r="F44" s="103"/>
      <c r="G44" s="103"/>
    </row>
    <row r="45">
      <c r="A45" s="103"/>
      <c r="B45" s="103"/>
      <c r="C45" s="103"/>
      <c r="D45" s="103"/>
      <c r="E45" s="103"/>
      <c r="F45" s="103"/>
      <c r="G45" s="103"/>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04" t="s">
        <v>182</v>
      </c>
    </row>
    <row r="2">
      <c r="A2" s="105" t="s">
        <v>17</v>
      </c>
      <c r="B2" s="105" t="s">
        <v>183</v>
      </c>
      <c r="C2" s="105" t="s">
        <v>184</v>
      </c>
      <c r="D2" s="105" t="s">
        <v>185</v>
      </c>
      <c r="E2" s="105" t="s">
        <v>186</v>
      </c>
    </row>
    <row r="3">
      <c r="A3" s="106">
        <v>0.0</v>
      </c>
      <c r="B3" s="98">
        <f>COUNTIFS('Group Heuristic Evaluation'!H:H, "*A*",'Group Heuristic Evaluation'!D:D, 0)/COUNTA('Group Heuristic Evaluation'!B:B)
</f>
        <v>0</v>
      </c>
      <c r="C3" s="107">
        <f>COUNTIFS('Group Heuristic Evaluation'!H:H, "*B*",'Group Heuristic Evaluation'!D:D, 0)/COUNTA('Group Heuristic Evaluation'!B:B)</f>
        <v>0</v>
      </c>
      <c r="D3" s="98">
        <f>COUNTIFS('Group Heuristic Evaluation'!H:H, "*C*",'Group Heuristic Evaluation'!D:D, 0)/COUNTA('Group Heuristic Evaluation'!B11:B1001)</f>
        <v>0</v>
      </c>
      <c r="E3" s="98">
        <f>COUNTIFS('Group Heuristic Evaluation'!H:H, "*D*",'Group Heuristic Evaluation'!D:D, 0)/COUNTA('Group Heuristic Evaluation'!B11:B1001)</f>
        <v>0</v>
      </c>
    </row>
    <row r="4">
      <c r="A4" s="106">
        <v>1.0</v>
      </c>
      <c r="B4" s="98">
        <f>COUNTIFS('Group Heuristic Evaluation'!H:H, "*A*",'Group Heuristic Evaluation'!D:D, 1)/COUNTA('Group Heuristic Evaluation'!B11:B1001)
</f>
        <v>0.1111111111</v>
      </c>
      <c r="C4" s="107">
        <f>COUNTIFS('Group Heuristic Evaluation'!H:H, "*B*",'Group Heuristic Evaluation'!D:D, 1)/COUNTA('Group Heuristic Evaluation'!B11:B1001)</f>
        <v>0.1666666667</v>
      </c>
      <c r="D4" s="98">
        <f>COUNTIFS('Group Heuristic Evaluation'!H:H, "*C*",'Group Heuristic Evaluation'!D:D, 1)/COUNTA('Group Heuristic Evaluation'!B11:B1001)</f>
        <v>0.05555555556</v>
      </c>
      <c r="E4" s="98">
        <f>COUNTIFS('Group Heuristic Evaluation'!H:H, "*D*",'Group Heuristic Evaluation'!D:D, 1)/COUNTA('Group Heuristic Evaluation'!B11:B1001)</f>
        <v>0.08333333333</v>
      </c>
    </row>
    <row r="5">
      <c r="A5" s="106">
        <v>2.0</v>
      </c>
      <c r="B5" s="98">
        <f>COUNTIFS('Group Heuristic Evaluation'!H:H, "*A*",'Group Heuristic Evaluation'!D:D, 2)/COUNTA('Group Heuristic Evaluation'!B11:B1001)
</f>
        <v>0.1666666667</v>
      </c>
      <c r="C5" s="107">
        <f>COUNTIFS('Group Heuristic Evaluation'!H:H, "*B*",'Group Heuristic Evaluation'!D:D, 2)/COUNTA('Group Heuristic Evaluation'!B11:B1001)</f>
        <v>0.25</v>
      </c>
      <c r="D5" s="98">
        <f>COUNTIFS('Group Heuristic Evaluation'!H:H, "*C*",'Group Heuristic Evaluation'!D:D, 2)/COUNTA('Group Heuristic Evaluation'!B11:B1001)</f>
        <v>0.02777777778</v>
      </c>
      <c r="E5" s="98">
        <f>COUNTIFS('Group Heuristic Evaluation'!H:H, "*D*",'Group Heuristic Evaluation'!D:D, 2)/COUNTA('Group Heuristic Evaluation'!B11:B1001)</f>
        <v>0.02777777778</v>
      </c>
    </row>
    <row r="6">
      <c r="A6" s="106">
        <v>3.0</v>
      </c>
      <c r="B6" s="98">
        <f>COUNTIFS('Group Heuristic Evaluation'!H:H, "*A*",'Group Heuristic Evaluation'!D:D, 3)/COUNTA('Group Heuristic Evaluation'!B11:B1001)
</f>
        <v>0.1944444444</v>
      </c>
      <c r="C6" s="107">
        <f>COUNTIFS('Group Heuristic Evaluation'!H:H, "*B*",'Group Heuristic Evaluation'!D:D, 3)/COUNTA('Group Heuristic Evaluation'!B11:B1001)</f>
        <v>0.1944444444</v>
      </c>
      <c r="D6" s="98">
        <f>COUNTIFS('Group Heuristic Evaluation'!H:H, "*C*",'Group Heuristic Evaluation'!D:D, 3)/COUNTA('Group Heuristic Evaluation'!B11:B1001)</f>
        <v>0</v>
      </c>
      <c r="E6" s="98">
        <f>COUNTIFS('Group Heuristic Evaluation'!H:H, "*D*",'Group Heuristic Evaluation'!D:D, 3)/COUNTA('Group Heuristic Evaluation'!B11:B1001)</f>
        <v>0.1111111111</v>
      </c>
    </row>
    <row r="7">
      <c r="A7" s="106">
        <v>4.0</v>
      </c>
      <c r="B7" s="98">
        <f>COUNTIFS('Group Heuristic Evaluation'!H:H, "*A*",'Group Heuristic Evaluation'!D:D, 4)/COUNTA('Group Heuristic Evaluation'!B11:B1001)
</f>
        <v>0.02777777778</v>
      </c>
      <c r="C7" s="107">
        <f>COUNTIFS('Group Heuristic Evaluation'!H:H, "*B*",'Group Heuristic Evaluation'!D:D, 4)/COUNTA('Group Heuristic Evaluation'!B11:B1001)</f>
        <v>0</v>
      </c>
      <c r="D7" s="98">
        <f>COUNTIFS('Group Heuristic Evaluation'!H:H, "*C*",'Group Heuristic Evaluation'!D:D, 4)/COUNTA('Group Heuristic Evaluation'!B11:B1001)</f>
        <v>0</v>
      </c>
      <c r="E7" s="98">
        <f>COUNTIFS('Group Heuristic Evaluation'!H:H, "*D*",'Group Heuristic Evaluation'!D:D, 4)/COUNTA('Group Heuristic Evaluation'!B11:B1001)</f>
        <v>0.05555555556</v>
      </c>
    </row>
    <row r="8">
      <c r="A8" s="91" t="s">
        <v>187</v>
      </c>
      <c r="B8" s="108">
        <f t="shared" ref="B8:E8" si="1">SUM(B6:B7)</f>
        <v>0.2222222222</v>
      </c>
      <c r="C8" s="108">
        <f t="shared" si="1"/>
        <v>0.1944444444</v>
      </c>
      <c r="D8" s="108">
        <f t="shared" si="1"/>
        <v>0</v>
      </c>
      <c r="E8" s="108">
        <f t="shared" si="1"/>
        <v>0.1666666667</v>
      </c>
    </row>
    <row r="9">
      <c r="A9" s="91" t="s">
        <v>188</v>
      </c>
      <c r="B9" s="108">
        <f t="shared" ref="B9:E9" si="2">SUM(B3:B7)</f>
        <v>0.5</v>
      </c>
      <c r="C9" s="108">
        <f t="shared" si="2"/>
        <v>0.6111111111</v>
      </c>
      <c r="D9" s="108">
        <f t="shared" si="2"/>
        <v>0.08333333333</v>
      </c>
      <c r="E9" s="108">
        <f t="shared" si="2"/>
        <v>0.2777777778</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09" t="s">
        <v>189</v>
      </c>
      <c r="B1" s="110"/>
      <c r="C1" s="110"/>
      <c r="D1" s="110"/>
      <c r="E1" s="110"/>
      <c r="F1" s="110"/>
      <c r="G1" s="111"/>
    </row>
    <row r="2">
      <c r="A2" s="112" t="s">
        <v>190</v>
      </c>
    </row>
    <row r="28">
      <c r="A28" s="113"/>
    </row>
    <row r="29">
      <c r="A29" s="114"/>
    </row>
    <row r="30">
      <c r="A30" s="115"/>
    </row>
    <row r="31">
      <c r="A31" s="114"/>
    </row>
    <row r="32">
      <c r="A32" s="114"/>
    </row>
    <row r="33">
      <c r="A33" s="115"/>
    </row>
    <row r="34">
      <c r="A34" s="116"/>
    </row>
  </sheetData>
  <mergeCells count="2">
    <mergeCell ref="A1:G1"/>
    <mergeCell ref="A2:G27"/>
  </mergeCells>
  <drawing r:id="rId1"/>
</worksheet>
</file>