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8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Andrew/Documents/EE155/website/WWW/resources/"/>
    </mc:Choice>
  </mc:AlternateContent>
  <bookViews>
    <workbookView xWindow="0" yWindow="460" windowWidth="28800" windowHeight="17460" tabRatio="500" activeTab="5"/>
  </bookViews>
  <sheets>
    <sheet name="Sheet1" sheetId="1" r:id="rId1"/>
    <sheet name="Sheet2" sheetId="2" r:id="rId2"/>
    <sheet name="Sheet3 (2)" sheetId="9" r:id="rId3"/>
    <sheet name="Sheet3" sheetId="3" r:id="rId4"/>
    <sheet name="Sheet3 (3)" sheetId="10" r:id="rId5"/>
    <sheet name="E-Core Data" sheetId="11" r:id="rId6"/>
    <sheet name="Transformer" sheetId="6" r:id="rId7"/>
    <sheet name="Transformer (2)" sheetId="7" r:id="rId8"/>
    <sheet name="Transformer (3)" sheetId="8" r:id="rId9"/>
  </sheets>
  <definedNames>
    <definedName name="solver_adj" localSheetId="3" hidden="1">Sheet3!$B$7:$I$7</definedName>
    <definedName name="solver_adj" localSheetId="2" hidden="1">'Sheet3 (2)'!$E$7:$I$7</definedName>
    <definedName name="solver_adj" localSheetId="4" hidden="1">'Sheet3 (3)'!$B$7:$I$7</definedName>
    <definedName name="solver_adj" localSheetId="8" hidden="1">'Transformer (3)'!$B$31:$E$31</definedName>
    <definedName name="solver_cvg" localSheetId="3" hidden="1">0.0001</definedName>
    <definedName name="solver_cvg" localSheetId="2" hidden="1">0.0001</definedName>
    <definedName name="solver_cvg" localSheetId="4" hidden="1">0.0001</definedName>
    <definedName name="solver_cvg" localSheetId="8" hidden="1">0.0001</definedName>
    <definedName name="solver_drv" localSheetId="3" hidden="1">1</definedName>
    <definedName name="solver_drv" localSheetId="2" hidden="1">1</definedName>
    <definedName name="solver_drv" localSheetId="4" hidden="1">1</definedName>
    <definedName name="solver_drv" localSheetId="8" hidden="1">1</definedName>
    <definedName name="solver_eng" localSheetId="3" hidden="1">1</definedName>
    <definedName name="solver_eng" localSheetId="2" hidden="1">1</definedName>
    <definedName name="solver_eng" localSheetId="4" hidden="1">1</definedName>
    <definedName name="solver_eng" localSheetId="8" hidden="1">1</definedName>
    <definedName name="solver_itr" localSheetId="3" hidden="1">2147483647</definedName>
    <definedName name="solver_itr" localSheetId="2" hidden="1">2147483647</definedName>
    <definedName name="solver_itr" localSheetId="4" hidden="1">2147483647</definedName>
    <definedName name="solver_itr" localSheetId="8" hidden="1">2147483647</definedName>
    <definedName name="solver_lhs1" localSheetId="3" hidden="1">Sheet3!$B$7</definedName>
    <definedName name="solver_lhs1" localSheetId="2" hidden="1">'Sheet3 (2)'!$G$35</definedName>
    <definedName name="solver_lhs1" localSheetId="4" hidden="1">'Sheet3 (3)'!$G$35</definedName>
    <definedName name="solver_lhs2" localSheetId="3" hidden="1">Sheet3!$G$7</definedName>
    <definedName name="solver_lhs2" localSheetId="2" hidden="1">'Sheet3 (2)'!$G$7</definedName>
    <definedName name="solver_lhs2" localSheetId="4" hidden="1">'Sheet3 (3)'!$G$7</definedName>
    <definedName name="solver_lin" localSheetId="3" hidden="1">2</definedName>
    <definedName name="solver_lin" localSheetId="2" hidden="1">2</definedName>
    <definedName name="solver_lin" localSheetId="4" hidden="1">2</definedName>
    <definedName name="solver_lin" localSheetId="8" hidden="1">2</definedName>
    <definedName name="solver_mip" localSheetId="3" hidden="1">2147483647</definedName>
    <definedName name="solver_mip" localSheetId="2" hidden="1">2147483647</definedName>
    <definedName name="solver_mip" localSheetId="4" hidden="1">2147483647</definedName>
    <definedName name="solver_mip" localSheetId="8" hidden="1">2147483647</definedName>
    <definedName name="solver_mni" localSheetId="3" hidden="1">30</definedName>
    <definedName name="solver_mni" localSheetId="2" hidden="1">30</definedName>
    <definedName name="solver_mni" localSheetId="4" hidden="1">30</definedName>
    <definedName name="solver_mni" localSheetId="8" hidden="1">30</definedName>
    <definedName name="solver_mrt" localSheetId="3" hidden="1">0.075</definedName>
    <definedName name="solver_mrt" localSheetId="2" hidden="1">0.075</definedName>
    <definedName name="solver_mrt" localSheetId="4" hidden="1">0.075</definedName>
    <definedName name="solver_mrt" localSheetId="8" hidden="1">0.075</definedName>
    <definedName name="solver_msl" localSheetId="3" hidden="1">2</definedName>
    <definedName name="solver_msl" localSheetId="2" hidden="1">2</definedName>
    <definedName name="solver_msl" localSheetId="4" hidden="1">2</definedName>
    <definedName name="solver_msl" localSheetId="8" hidden="1">2</definedName>
    <definedName name="solver_neg" localSheetId="3" hidden="1">1</definedName>
    <definedName name="solver_neg" localSheetId="2" hidden="1">1</definedName>
    <definedName name="solver_neg" localSheetId="4" hidden="1">1</definedName>
    <definedName name="solver_neg" localSheetId="8" hidden="1">1</definedName>
    <definedName name="solver_nod" localSheetId="3" hidden="1">2147483647</definedName>
    <definedName name="solver_nod" localSheetId="2" hidden="1">2147483647</definedName>
    <definedName name="solver_nod" localSheetId="4" hidden="1">2147483647</definedName>
    <definedName name="solver_nod" localSheetId="8" hidden="1">2147483647</definedName>
    <definedName name="solver_num" localSheetId="3" hidden="1">1</definedName>
    <definedName name="solver_num" localSheetId="2" hidden="1">0</definedName>
    <definedName name="solver_num" localSheetId="4" hidden="1">0</definedName>
    <definedName name="solver_num" localSheetId="8" hidden="1">0</definedName>
    <definedName name="solver_opt" localSheetId="3" hidden="1">Sheet3!$N$42</definedName>
    <definedName name="solver_opt" localSheetId="2" hidden="1">'Sheet3 (2)'!$N$42</definedName>
    <definedName name="solver_opt" localSheetId="4" hidden="1">'Sheet3 (3)'!$N$45</definedName>
    <definedName name="solver_opt" localSheetId="8" hidden="1">'Transformer (3)'!$G$49</definedName>
    <definedName name="solver_pre" localSheetId="3" hidden="1">0.000001</definedName>
    <definedName name="solver_pre" localSheetId="2" hidden="1">0.000001</definedName>
    <definedName name="solver_pre" localSheetId="4" hidden="1">0.000001</definedName>
    <definedName name="solver_pre" localSheetId="8" hidden="1">0.000001</definedName>
    <definedName name="solver_rbv" localSheetId="3" hidden="1">1</definedName>
    <definedName name="solver_rbv" localSheetId="2" hidden="1">1</definedName>
    <definedName name="solver_rbv" localSheetId="4" hidden="1">1</definedName>
    <definedName name="solver_rbv" localSheetId="8" hidden="1">1</definedName>
    <definedName name="solver_rel1" localSheetId="3" hidden="1">1</definedName>
    <definedName name="solver_rel1" localSheetId="2" hidden="1">1</definedName>
    <definedName name="solver_rel1" localSheetId="4" hidden="1">1</definedName>
    <definedName name="solver_rel2" localSheetId="3" hidden="1">3</definedName>
    <definedName name="solver_rel2" localSheetId="2" hidden="1">3</definedName>
    <definedName name="solver_rel2" localSheetId="4" hidden="1">3</definedName>
    <definedName name="solver_rhs1" localSheetId="3" hidden="1">0.25</definedName>
    <definedName name="solver_rhs1" localSheetId="2" hidden="1">0.6</definedName>
    <definedName name="solver_rhs1" localSheetId="4" hidden="1">0.6</definedName>
    <definedName name="solver_rhs2" localSheetId="3" hidden="1">0.01</definedName>
    <definedName name="solver_rhs2" localSheetId="2" hidden="1">0.01</definedName>
    <definedName name="solver_rhs2" localSheetId="4" hidden="1">0.01</definedName>
    <definedName name="solver_rlx" localSheetId="3" hidden="1">2</definedName>
    <definedName name="solver_rlx" localSheetId="2" hidden="1">2</definedName>
    <definedName name="solver_rlx" localSheetId="4" hidden="1">2</definedName>
    <definedName name="solver_rlx" localSheetId="8" hidden="1">1</definedName>
    <definedName name="solver_rsd" localSheetId="3" hidden="1">0</definedName>
    <definedName name="solver_rsd" localSheetId="2" hidden="1">0</definedName>
    <definedName name="solver_rsd" localSheetId="4" hidden="1">0</definedName>
    <definedName name="solver_rsd" localSheetId="8" hidden="1">0</definedName>
    <definedName name="solver_scl" localSheetId="3" hidden="1">1</definedName>
    <definedName name="solver_scl" localSheetId="2" hidden="1">1</definedName>
    <definedName name="solver_scl" localSheetId="4" hidden="1">1</definedName>
    <definedName name="solver_scl" localSheetId="8" hidden="1">2</definedName>
    <definedName name="solver_sho" localSheetId="3" hidden="1">2</definedName>
    <definedName name="solver_sho" localSheetId="2" hidden="1">2</definedName>
    <definedName name="solver_sho" localSheetId="4" hidden="1">2</definedName>
    <definedName name="solver_sho" localSheetId="8" hidden="1">2</definedName>
    <definedName name="solver_ssz" localSheetId="3" hidden="1">100</definedName>
    <definedName name="solver_ssz" localSheetId="2" hidden="1">100</definedName>
    <definedName name="solver_ssz" localSheetId="4" hidden="1">100</definedName>
    <definedName name="solver_ssz" localSheetId="8" hidden="1">100</definedName>
    <definedName name="solver_tim" localSheetId="3" hidden="1">2147483647</definedName>
    <definedName name="solver_tim" localSheetId="2" hidden="1">2147483647</definedName>
    <definedName name="solver_tim" localSheetId="4" hidden="1">2147483647</definedName>
    <definedName name="solver_tim" localSheetId="8" hidden="1">2147483647</definedName>
    <definedName name="solver_tol" localSheetId="3" hidden="1">0.01</definedName>
    <definedName name="solver_tol" localSheetId="2" hidden="1">0.01</definedName>
    <definedName name="solver_tol" localSheetId="4" hidden="1">0.01</definedName>
    <definedName name="solver_tol" localSheetId="8" hidden="1">0.01</definedName>
    <definedName name="solver_typ" localSheetId="3" hidden="1">2</definedName>
    <definedName name="solver_typ" localSheetId="2" hidden="1">2</definedName>
    <definedName name="solver_typ" localSheetId="4" hidden="1">2</definedName>
    <definedName name="solver_typ" localSheetId="8" hidden="1">2</definedName>
    <definedName name="solver_val" localSheetId="3" hidden="1">0</definedName>
    <definedName name="solver_val" localSheetId="2" hidden="1">0</definedName>
    <definedName name="solver_val" localSheetId="4" hidden="1">0</definedName>
    <definedName name="solver_val" localSheetId="8" hidden="1">0</definedName>
    <definedName name="solver_ver" localSheetId="3" hidden="1">2</definedName>
    <definedName name="solver_ver" localSheetId="2" hidden="1">2</definedName>
    <definedName name="solver_ver" localSheetId="4" hidden="1">2</definedName>
    <definedName name="solver_ver" localSheetId="8" hidden="1">2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2" i="10" l="1"/>
  <c r="B41" i="10"/>
  <c r="B8" i="10"/>
  <c r="B3" i="10"/>
  <c r="B29" i="10"/>
  <c r="F10" i="10"/>
  <c r="B27" i="10"/>
  <c r="B32" i="10"/>
  <c r="B33" i="10"/>
  <c r="B34" i="10"/>
  <c r="B26" i="10"/>
  <c r="B36" i="10"/>
  <c r="B38" i="10"/>
  <c r="B39" i="10"/>
  <c r="B43" i="10"/>
  <c r="B44" i="10"/>
  <c r="B45" i="10"/>
  <c r="C22" i="10"/>
  <c r="C41" i="10"/>
  <c r="C8" i="10"/>
  <c r="C3" i="10"/>
  <c r="C20" i="10"/>
  <c r="C29" i="10"/>
  <c r="C27" i="10"/>
  <c r="C32" i="10"/>
  <c r="C33" i="10"/>
  <c r="C34" i="10"/>
  <c r="C26" i="10"/>
  <c r="C36" i="10"/>
  <c r="C38" i="10"/>
  <c r="C39" i="10"/>
  <c r="C43" i="10"/>
  <c r="C44" i="10"/>
  <c r="C45" i="10"/>
  <c r="D41" i="10"/>
  <c r="D8" i="10"/>
  <c r="D3" i="10"/>
  <c r="D29" i="10"/>
  <c r="D27" i="10"/>
  <c r="D32" i="10"/>
  <c r="D33" i="10"/>
  <c r="D34" i="10"/>
  <c r="D26" i="10"/>
  <c r="D36" i="10"/>
  <c r="D38" i="10"/>
  <c r="D39" i="10"/>
  <c r="D43" i="10"/>
  <c r="D44" i="10"/>
  <c r="D45" i="10"/>
  <c r="E41" i="10"/>
  <c r="E8" i="10"/>
  <c r="E3" i="10"/>
  <c r="E29" i="10"/>
  <c r="E27" i="10"/>
  <c r="E32" i="10"/>
  <c r="E33" i="10"/>
  <c r="E34" i="10"/>
  <c r="E26" i="10"/>
  <c r="E36" i="10"/>
  <c r="E38" i="10"/>
  <c r="E39" i="10"/>
  <c r="E43" i="10"/>
  <c r="E44" i="10"/>
  <c r="E45" i="10"/>
  <c r="F41" i="10"/>
  <c r="F8" i="10"/>
  <c r="F3" i="10"/>
  <c r="F29" i="10"/>
  <c r="F27" i="10"/>
  <c r="F32" i="10"/>
  <c r="F33" i="10"/>
  <c r="F34" i="10"/>
  <c r="F26" i="10"/>
  <c r="F36" i="10"/>
  <c r="F38" i="10"/>
  <c r="F39" i="10"/>
  <c r="F43" i="10"/>
  <c r="F44" i="10"/>
  <c r="F45" i="10"/>
  <c r="G41" i="10"/>
  <c r="G8" i="10"/>
  <c r="G3" i="10"/>
  <c r="G29" i="10"/>
  <c r="G27" i="10"/>
  <c r="G32" i="10"/>
  <c r="G33" i="10"/>
  <c r="G34" i="10"/>
  <c r="G26" i="10"/>
  <c r="G36" i="10"/>
  <c r="G38" i="10"/>
  <c r="G39" i="10"/>
  <c r="G43" i="10"/>
  <c r="G44" i="10"/>
  <c r="G45" i="10"/>
  <c r="H41" i="10"/>
  <c r="H8" i="10"/>
  <c r="H3" i="10"/>
  <c r="H29" i="10"/>
  <c r="H27" i="10"/>
  <c r="H32" i="10"/>
  <c r="H33" i="10"/>
  <c r="H34" i="10"/>
  <c r="H26" i="10"/>
  <c r="H36" i="10"/>
  <c r="H38" i="10"/>
  <c r="H39" i="10"/>
  <c r="H43" i="10"/>
  <c r="H44" i="10"/>
  <c r="H45" i="10"/>
  <c r="I41" i="10"/>
  <c r="I8" i="10"/>
  <c r="I3" i="10"/>
  <c r="I29" i="10"/>
  <c r="I27" i="10"/>
  <c r="I32" i="10"/>
  <c r="I33" i="10"/>
  <c r="I34" i="10"/>
  <c r="I26" i="10"/>
  <c r="I36" i="10"/>
  <c r="I38" i="10"/>
  <c r="I39" i="10"/>
  <c r="I43" i="10"/>
  <c r="I44" i="10"/>
  <c r="I45" i="10"/>
  <c r="N45" i="10"/>
  <c r="B22" i="3"/>
  <c r="B41" i="3"/>
  <c r="B8" i="3"/>
  <c r="B29" i="3"/>
  <c r="F10" i="3"/>
  <c r="B27" i="3"/>
  <c r="B32" i="3"/>
  <c r="B33" i="3"/>
  <c r="B34" i="3"/>
  <c r="B26" i="3"/>
  <c r="B36" i="3"/>
  <c r="B38" i="3"/>
  <c r="B39" i="3"/>
  <c r="B42" i="3"/>
  <c r="C22" i="3"/>
  <c r="C41" i="3"/>
  <c r="C8" i="3"/>
  <c r="C20" i="3"/>
  <c r="C29" i="3"/>
  <c r="C27" i="3"/>
  <c r="C32" i="3"/>
  <c r="C33" i="3"/>
  <c r="C34" i="3"/>
  <c r="C26" i="3"/>
  <c r="C36" i="3"/>
  <c r="C38" i="3"/>
  <c r="C39" i="3"/>
  <c r="C42" i="3"/>
  <c r="D41" i="3"/>
  <c r="D8" i="3"/>
  <c r="D29" i="3"/>
  <c r="D27" i="3"/>
  <c r="D32" i="3"/>
  <c r="D33" i="3"/>
  <c r="D34" i="3"/>
  <c r="D26" i="3"/>
  <c r="D36" i="3"/>
  <c r="D38" i="3"/>
  <c r="D39" i="3"/>
  <c r="D42" i="3"/>
  <c r="E41" i="3"/>
  <c r="E8" i="3"/>
  <c r="E29" i="3"/>
  <c r="E27" i="3"/>
  <c r="E32" i="3"/>
  <c r="E33" i="3"/>
  <c r="E34" i="3"/>
  <c r="E26" i="3"/>
  <c r="E36" i="3"/>
  <c r="E38" i="3"/>
  <c r="E39" i="3"/>
  <c r="E42" i="3"/>
  <c r="F41" i="3"/>
  <c r="F8" i="3"/>
  <c r="F29" i="3"/>
  <c r="F27" i="3"/>
  <c r="F32" i="3"/>
  <c r="F33" i="3"/>
  <c r="F34" i="3"/>
  <c r="F26" i="3"/>
  <c r="F36" i="3"/>
  <c r="F38" i="3"/>
  <c r="F39" i="3"/>
  <c r="F42" i="3"/>
  <c r="G41" i="3"/>
  <c r="G8" i="3"/>
  <c r="G29" i="3"/>
  <c r="G27" i="3"/>
  <c r="G32" i="3"/>
  <c r="G33" i="3"/>
  <c r="G34" i="3"/>
  <c r="G26" i="3"/>
  <c r="G36" i="3"/>
  <c r="G38" i="3"/>
  <c r="G39" i="3"/>
  <c r="G42" i="3"/>
  <c r="H41" i="3"/>
  <c r="H8" i="3"/>
  <c r="H29" i="3"/>
  <c r="H27" i="3"/>
  <c r="H32" i="3"/>
  <c r="H33" i="3"/>
  <c r="H34" i="3"/>
  <c r="H26" i="3"/>
  <c r="H36" i="3"/>
  <c r="H38" i="3"/>
  <c r="H39" i="3"/>
  <c r="H42" i="3"/>
  <c r="I41" i="3"/>
  <c r="I8" i="3"/>
  <c r="I29" i="3"/>
  <c r="I27" i="3"/>
  <c r="I32" i="3"/>
  <c r="I33" i="3"/>
  <c r="I34" i="3"/>
  <c r="I26" i="3"/>
  <c r="I36" i="3"/>
  <c r="I38" i="3"/>
  <c r="I39" i="3"/>
  <c r="I42" i="3"/>
  <c r="N42" i="3"/>
  <c r="B32" i="8"/>
  <c r="B47" i="8"/>
  <c r="B30" i="8"/>
  <c r="B33" i="8"/>
  <c r="B24" i="8"/>
  <c r="B42" i="8"/>
  <c r="B38" i="8"/>
  <c r="B23" i="8"/>
  <c r="B39" i="8"/>
  <c r="B40" i="8"/>
  <c r="B41" i="8"/>
  <c r="B43" i="8"/>
  <c r="B44" i="8"/>
  <c r="B45" i="8"/>
  <c r="B49" i="8"/>
  <c r="C32" i="8"/>
  <c r="C47" i="8"/>
  <c r="C30" i="8"/>
  <c r="C33" i="8"/>
  <c r="C24" i="8"/>
  <c r="C42" i="8"/>
  <c r="C38" i="8"/>
  <c r="C23" i="8"/>
  <c r="C39" i="8"/>
  <c r="C40" i="8"/>
  <c r="C41" i="8"/>
  <c r="C43" i="8"/>
  <c r="C44" i="8"/>
  <c r="C45" i="8"/>
  <c r="C49" i="8"/>
  <c r="D32" i="8"/>
  <c r="D47" i="8"/>
  <c r="D30" i="8"/>
  <c r="D33" i="8"/>
  <c r="D24" i="8"/>
  <c r="D42" i="8"/>
  <c r="D38" i="8"/>
  <c r="D23" i="8"/>
  <c r="D39" i="8"/>
  <c r="D40" i="8"/>
  <c r="D41" i="8"/>
  <c r="D43" i="8"/>
  <c r="D44" i="8"/>
  <c r="D45" i="8"/>
  <c r="D49" i="8"/>
  <c r="E32" i="8"/>
  <c r="E47" i="8"/>
  <c r="E30" i="8"/>
  <c r="E33" i="8"/>
  <c r="E24" i="8"/>
  <c r="E42" i="8"/>
  <c r="E38" i="8"/>
  <c r="E23" i="8"/>
  <c r="E39" i="8"/>
  <c r="E40" i="8"/>
  <c r="E41" i="8"/>
  <c r="E43" i="8"/>
  <c r="E44" i="8"/>
  <c r="E45" i="8"/>
  <c r="E49" i="8"/>
  <c r="G49" i="8"/>
  <c r="B32" i="7"/>
  <c r="B47" i="7"/>
  <c r="B8" i="6"/>
  <c r="B47" i="6"/>
  <c r="I37" i="10"/>
  <c r="H37" i="10"/>
  <c r="G37" i="10"/>
  <c r="F37" i="10"/>
  <c r="E37" i="10"/>
  <c r="D37" i="10"/>
  <c r="C37" i="10"/>
  <c r="B37" i="10"/>
  <c r="I11" i="10"/>
  <c r="I30" i="10"/>
  <c r="H11" i="10"/>
  <c r="H30" i="10"/>
  <c r="G11" i="10"/>
  <c r="G30" i="10"/>
  <c r="F11" i="10"/>
  <c r="F30" i="10"/>
  <c r="E11" i="10"/>
  <c r="E30" i="10"/>
  <c r="D11" i="10"/>
  <c r="D30" i="10"/>
  <c r="C11" i="10"/>
  <c r="C30" i="10"/>
  <c r="B11" i="10"/>
  <c r="B30" i="10"/>
  <c r="C21" i="10"/>
  <c r="B21" i="10"/>
  <c r="I10" i="10"/>
  <c r="H10" i="10"/>
  <c r="G10" i="10"/>
  <c r="E10" i="10"/>
  <c r="D10" i="10"/>
  <c r="C10" i="10"/>
  <c r="B10" i="10"/>
  <c r="F41" i="9"/>
  <c r="F8" i="9"/>
  <c r="F29" i="9"/>
  <c r="F10" i="9"/>
  <c r="F27" i="9"/>
  <c r="F32" i="9"/>
  <c r="F33" i="9"/>
  <c r="F26" i="9"/>
  <c r="F34" i="9"/>
  <c r="F36" i="9"/>
  <c r="F38" i="9"/>
  <c r="F39" i="9"/>
  <c r="F42" i="9"/>
  <c r="G41" i="9"/>
  <c r="G8" i="9"/>
  <c r="G29" i="9"/>
  <c r="G27" i="9"/>
  <c r="G32" i="9"/>
  <c r="G33" i="9"/>
  <c r="G26" i="9"/>
  <c r="G34" i="9"/>
  <c r="G36" i="9"/>
  <c r="G38" i="9"/>
  <c r="G39" i="9"/>
  <c r="G42" i="9"/>
  <c r="H41" i="9"/>
  <c r="H8" i="9"/>
  <c r="H29" i="9"/>
  <c r="H27" i="9"/>
  <c r="H32" i="9"/>
  <c r="H33" i="9"/>
  <c r="H26" i="9"/>
  <c r="H34" i="9"/>
  <c r="H36" i="9"/>
  <c r="H38" i="9"/>
  <c r="H39" i="9"/>
  <c r="H42" i="9"/>
  <c r="I41" i="9"/>
  <c r="I8" i="9"/>
  <c r="I29" i="9"/>
  <c r="I27" i="9"/>
  <c r="I32" i="9"/>
  <c r="I33" i="9"/>
  <c r="I26" i="9"/>
  <c r="I34" i="9"/>
  <c r="I36" i="9"/>
  <c r="I38" i="9"/>
  <c r="I39" i="9"/>
  <c r="I42" i="9"/>
  <c r="N42" i="9"/>
  <c r="E41" i="9"/>
  <c r="E8" i="9"/>
  <c r="E29" i="9"/>
  <c r="E27" i="9"/>
  <c r="E32" i="9"/>
  <c r="E33" i="9"/>
  <c r="E26" i="9"/>
  <c r="E34" i="9"/>
  <c r="E36" i="9"/>
  <c r="E38" i="9"/>
  <c r="E39" i="9"/>
  <c r="E42" i="9"/>
  <c r="D41" i="9"/>
  <c r="D8" i="9"/>
  <c r="D29" i="9"/>
  <c r="D27" i="9"/>
  <c r="D32" i="9"/>
  <c r="D33" i="9"/>
  <c r="D26" i="9"/>
  <c r="D34" i="9"/>
  <c r="D36" i="9"/>
  <c r="D38" i="9"/>
  <c r="D39" i="9"/>
  <c r="D42" i="9"/>
  <c r="C22" i="9"/>
  <c r="C41" i="9"/>
  <c r="C8" i="9"/>
  <c r="C20" i="9"/>
  <c r="C29" i="9"/>
  <c r="C27" i="9"/>
  <c r="C32" i="9"/>
  <c r="C33" i="9"/>
  <c r="C26" i="9"/>
  <c r="C34" i="9"/>
  <c r="C36" i="9"/>
  <c r="C38" i="9"/>
  <c r="C39" i="9"/>
  <c r="C42" i="9"/>
  <c r="B22" i="9"/>
  <c r="B41" i="9"/>
  <c r="B8" i="9"/>
  <c r="B29" i="9"/>
  <c r="B27" i="9"/>
  <c r="B32" i="9"/>
  <c r="B33" i="9"/>
  <c r="B26" i="9"/>
  <c r="B34" i="9"/>
  <c r="B36" i="9"/>
  <c r="B38" i="9"/>
  <c r="B39" i="9"/>
  <c r="B42" i="9"/>
  <c r="I37" i="9"/>
  <c r="H37" i="9"/>
  <c r="G37" i="9"/>
  <c r="F37" i="9"/>
  <c r="E37" i="9"/>
  <c r="D37" i="9"/>
  <c r="C37" i="9"/>
  <c r="B37" i="9"/>
  <c r="I11" i="9"/>
  <c r="I30" i="9"/>
  <c r="H11" i="9"/>
  <c r="H30" i="9"/>
  <c r="G11" i="9"/>
  <c r="G30" i="9"/>
  <c r="F11" i="9"/>
  <c r="F30" i="9"/>
  <c r="E11" i="9"/>
  <c r="E30" i="9"/>
  <c r="D11" i="9"/>
  <c r="D30" i="9"/>
  <c r="C11" i="9"/>
  <c r="C30" i="9"/>
  <c r="B11" i="9"/>
  <c r="B30" i="9"/>
  <c r="C21" i="9"/>
  <c r="B21" i="9"/>
  <c r="I10" i="9"/>
  <c r="H10" i="9"/>
  <c r="G10" i="9"/>
  <c r="E10" i="9"/>
  <c r="D10" i="9"/>
  <c r="C10" i="9"/>
  <c r="B10" i="9"/>
  <c r="C11" i="3"/>
  <c r="C10" i="3"/>
  <c r="C37" i="3"/>
  <c r="C30" i="3"/>
  <c r="C21" i="3"/>
  <c r="B21" i="3"/>
  <c r="B37" i="3"/>
  <c r="B11" i="3"/>
  <c r="B30" i="3"/>
  <c r="B10" i="3"/>
  <c r="D37" i="3"/>
  <c r="D11" i="3"/>
  <c r="D30" i="3"/>
  <c r="D10" i="3"/>
  <c r="B40" i="2"/>
  <c r="B29" i="2"/>
  <c r="C10" i="2"/>
  <c r="B27" i="2"/>
  <c r="B32" i="2"/>
  <c r="B33" i="2"/>
  <c r="B34" i="2"/>
  <c r="B37" i="2"/>
  <c r="B38" i="2"/>
  <c r="B42" i="2"/>
  <c r="B35" i="2"/>
  <c r="B26" i="2"/>
  <c r="B36" i="2"/>
  <c r="B11" i="2"/>
  <c r="B30" i="2"/>
  <c r="B10" i="2"/>
  <c r="D6" i="2"/>
  <c r="E6" i="2"/>
  <c r="F6" i="2"/>
  <c r="F40" i="2"/>
  <c r="E40" i="2"/>
  <c r="D40" i="2"/>
  <c r="C40" i="2"/>
  <c r="C29" i="2"/>
  <c r="C27" i="2"/>
  <c r="C32" i="2"/>
  <c r="C33" i="2"/>
  <c r="C34" i="2"/>
  <c r="C37" i="2"/>
  <c r="C38" i="2"/>
  <c r="D29" i="2"/>
  <c r="D27" i="2"/>
  <c r="D32" i="2"/>
  <c r="D33" i="2"/>
  <c r="D34" i="2"/>
  <c r="D37" i="2"/>
  <c r="D38" i="2"/>
  <c r="E29" i="2"/>
  <c r="E27" i="2"/>
  <c r="E32" i="2"/>
  <c r="E33" i="2"/>
  <c r="E34" i="2"/>
  <c r="E37" i="2"/>
  <c r="E38" i="2"/>
  <c r="F29" i="2"/>
  <c r="F27" i="2"/>
  <c r="F32" i="2"/>
  <c r="F33" i="2"/>
  <c r="F34" i="2"/>
  <c r="F37" i="2"/>
  <c r="F38" i="2"/>
  <c r="B47" i="1"/>
  <c r="B35" i="8"/>
  <c r="B34" i="8"/>
  <c r="B10" i="8"/>
  <c r="B9" i="8"/>
  <c r="E18" i="8"/>
  <c r="E16" i="8"/>
  <c r="E35" i="8"/>
  <c r="E34" i="8"/>
  <c r="E10" i="8"/>
  <c r="E9" i="8"/>
  <c r="C35" i="8"/>
  <c r="C34" i="8"/>
  <c r="C10" i="8"/>
  <c r="C9" i="8"/>
  <c r="D35" i="8"/>
  <c r="D34" i="8"/>
  <c r="D16" i="8"/>
  <c r="D10" i="8"/>
  <c r="D9" i="8"/>
  <c r="B24" i="7"/>
  <c r="B30" i="7"/>
  <c r="B33" i="7"/>
  <c r="B42" i="7"/>
  <c r="B38" i="7"/>
  <c r="B23" i="7"/>
  <c r="B39" i="7"/>
  <c r="B40" i="7"/>
  <c r="B41" i="7"/>
  <c r="B43" i="7"/>
  <c r="B44" i="7"/>
  <c r="B45" i="7"/>
  <c r="B49" i="7"/>
  <c r="B35" i="7"/>
  <c r="B34" i="7"/>
  <c r="B16" i="7"/>
  <c r="B10" i="7"/>
  <c r="B9" i="7"/>
  <c r="B26" i="6"/>
  <c r="B32" i="6"/>
  <c r="B33" i="6"/>
  <c r="B42" i="6"/>
  <c r="B38" i="6"/>
  <c r="B25" i="6"/>
  <c r="B39" i="6"/>
  <c r="B40" i="6"/>
  <c r="B41" i="6"/>
  <c r="B43" i="6"/>
  <c r="B44" i="6"/>
  <c r="B45" i="6"/>
  <c r="B49" i="6"/>
  <c r="B34" i="6"/>
  <c r="B35" i="6"/>
  <c r="B18" i="6"/>
  <c r="B11" i="6"/>
  <c r="B12" i="6"/>
  <c r="E37" i="3"/>
  <c r="E11" i="3"/>
  <c r="E30" i="3"/>
  <c r="E10" i="3"/>
  <c r="I37" i="3"/>
  <c r="H37" i="3"/>
  <c r="G37" i="3"/>
  <c r="F37" i="3"/>
  <c r="I11" i="3"/>
  <c r="I30" i="3"/>
  <c r="H11" i="3"/>
  <c r="H30" i="3"/>
  <c r="G11" i="3"/>
  <c r="G30" i="3"/>
  <c r="F11" i="3"/>
  <c r="F30" i="3"/>
  <c r="I10" i="3"/>
  <c r="H10" i="3"/>
  <c r="G10" i="3"/>
  <c r="D42" i="2"/>
  <c r="D35" i="2"/>
  <c r="D26" i="2"/>
  <c r="D36" i="2"/>
  <c r="D11" i="2"/>
  <c r="D30" i="2"/>
  <c r="D10" i="2"/>
  <c r="E26" i="2"/>
  <c r="E42" i="2"/>
  <c r="E35" i="2"/>
  <c r="E36" i="2"/>
  <c r="E11" i="2"/>
  <c r="E30" i="2"/>
  <c r="E10" i="2"/>
  <c r="F26" i="2"/>
  <c r="F42" i="2"/>
  <c r="F35" i="2"/>
  <c r="F36" i="2"/>
  <c r="F11" i="2"/>
  <c r="F30" i="2"/>
  <c r="F10" i="2"/>
  <c r="C42" i="2"/>
  <c r="C35" i="2"/>
  <c r="C26" i="2"/>
  <c r="C36" i="2"/>
  <c r="C11" i="2"/>
  <c r="C30" i="2"/>
  <c r="B34" i="1"/>
  <c r="B12" i="1"/>
  <c r="B26" i="1"/>
  <c r="B38" i="1"/>
  <c r="B39" i="1"/>
  <c r="B40" i="1"/>
  <c r="B43" i="1"/>
  <c r="B44" i="1"/>
  <c r="B49" i="1"/>
  <c r="B41" i="1"/>
  <c r="B25" i="1"/>
  <c r="B42" i="1"/>
  <c r="B13" i="1"/>
  <c r="B35" i="1"/>
</calcChain>
</file>

<file path=xl/sharedStrings.xml><?xml version="1.0" encoding="utf-8"?>
<sst xmlns="http://schemas.openxmlformats.org/spreadsheetml/2006/main" count="807" uniqueCount="144">
  <si>
    <t>Inductor design example</t>
  </si>
  <si>
    <t>L</t>
  </si>
  <si>
    <t>Inductance</t>
  </si>
  <si>
    <t>Imax</t>
  </si>
  <si>
    <t>A</t>
  </si>
  <si>
    <t>H</t>
  </si>
  <si>
    <t>Max current</t>
  </si>
  <si>
    <t>Bmax</t>
  </si>
  <si>
    <t>T</t>
  </si>
  <si>
    <t>Max flux density</t>
  </si>
  <si>
    <t>pi</t>
  </si>
  <si>
    <t>mu0</t>
  </si>
  <si>
    <t>Part</t>
  </si>
  <si>
    <t>PQ32/30</t>
  </si>
  <si>
    <t>Ac</t>
  </si>
  <si>
    <t>Lc</t>
  </si>
  <si>
    <t>Vc</t>
  </si>
  <si>
    <t>OD</t>
  </si>
  <si>
    <t>ID</t>
  </si>
  <si>
    <t>Aw</t>
  </si>
  <si>
    <t>Lturn</t>
  </si>
  <si>
    <t>Spec</t>
  </si>
  <si>
    <t>Constants</t>
  </si>
  <si>
    <t>Core Data</t>
  </si>
  <si>
    <t>m^2</t>
  </si>
  <si>
    <t>m</t>
  </si>
  <si>
    <t>m^3</t>
  </si>
  <si>
    <t>mm</t>
  </si>
  <si>
    <t>Turns and Gap Computation</t>
  </si>
  <si>
    <t>N</t>
  </si>
  <si>
    <t>turns</t>
  </si>
  <si>
    <t>Lg</t>
  </si>
  <si>
    <t>LI/BA</t>
  </si>
  <si>
    <t>N^2mu0A/L</t>
  </si>
  <si>
    <t>Windings</t>
  </si>
  <si>
    <t>Rs</t>
  </si>
  <si>
    <t>Ohms</t>
  </si>
  <si>
    <t>Series Resistance</t>
  </si>
  <si>
    <t>Length of winding</t>
  </si>
  <si>
    <t>Rw</t>
  </si>
  <si>
    <t>Ohms/m</t>
  </si>
  <si>
    <t>24AWG</t>
  </si>
  <si>
    <t>Resistance per strand</t>
  </si>
  <si>
    <t>Lst</t>
  </si>
  <si>
    <t>Rst</t>
  </si>
  <si>
    <t>Nst</t>
  </si>
  <si>
    <t>strands</t>
  </si>
  <si>
    <t>Parallel strands</t>
  </si>
  <si>
    <t>mm^2</t>
  </si>
  <si>
    <t>f</t>
  </si>
  <si>
    <t>Hz</t>
  </si>
  <si>
    <t>Operating Frequency</t>
  </si>
  <si>
    <t>Ast</t>
  </si>
  <si>
    <t>Area taken by winding</t>
  </si>
  <si>
    <t>kf</t>
  </si>
  <si>
    <t>Fraction of window filled</t>
  </si>
  <si>
    <t>Core Loss</t>
  </si>
  <si>
    <t>Pc</t>
  </si>
  <si>
    <t>kW/m^3</t>
  </si>
  <si>
    <t>Core loss at 0.1T 100kHz</t>
  </si>
  <si>
    <t>pcb</t>
  </si>
  <si>
    <t>Exponent for B field scaling</t>
  </si>
  <si>
    <t>pcf</t>
  </si>
  <si>
    <t>Exponent for f scaling</t>
  </si>
  <si>
    <t>Core Loss Data</t>
  </si>
  <si>
    <t>W</t>
  </si>
  <si>
    <t>Core loss power</t>
  </si>
  <si>
    <t>Pw</t>
  </si>
  <si>
    <t>Resistance of inductor</t>
  </si>
  <si>
    <t>Copper loss power</t>
  </si>
  <si>
    <t>Pt</t>
  </si>
  <si>
    <t>Total losses (core plus copper)</t>
  </si>
  <si>
    <t>PQ20/20</t>
  </si>
  <si>
    <t>PQ26/25</t>
  </si>
  <si>
    <t>PQ26/20</t>
  </si>
  <si>
    <t>At</t>
  </si>
  <si>
    <t>Optimize to minimize power</t>
  </si>
  <si>
    <t>PQ20/16</t>
  </si>
  <si>
    <t>Switching Loss</t>
  </si>
  <si>
    <t>Esw</t>
  </si>
  <si>
    <t>Psw</t>
  </si>
  <si>
    <t>Nr</t>
  </si>
  <si>
    <t>Turns ratio - primary to secondary</t>
  </si>
  <si>
    <t>V</t>
  </si>
  <si>
    <t>Volts</t>
  </si>
  <si>
    <t>Amps</t>
  </si>
  <si>
    <t>Primary voltage</t>
  </si>
  <si>
    <t>t</t>
  </si>
  <si>
    <t>s</t>
  </si>
  <si>
    <t>Primary pulse width</t>
  </si>
  <si>
    <t>Derived</t>
  </si>
  <si>
    <t>V*t</t>
  </si>
  <si>
    <t>E41/17/12</t>
  </si>
  <si>
    <t>AL</t>
  </si>
  <si>
    <t>Turns</t>
  </si>
  <si>
    <t>Primary turns</t>
  </si>
  <si>
    <t>Primary magnetizing inductance</t>
  </si>
  <si>
    <t>Np</t>
  </si>
  <si>
    <t>Ns</t>
  </si>
  <si>
    <t>Secondary turns</t>
  </si>
  <si>
    <t>Kw</t>
  </si>
  <si>
    <t>Fill factor</t>
  </si>
  <si>
    <t>Kwp</t>
  </si>
  <si>
    <t>Window fraction for primary</t>
  </si>
  <si>
    <t>Awp</t>
  </si>
  <si>
    <t>Area for primary</t>
  </si>
  <si>
    <t>Nw</t>
  </si>
  <si>
    <t>Number of wires that will fit</t>
  </si>
  <si>
    <t>Strands</t>
  </si>
  <si>
    <t>Parallel strands per turn</t>
  </si>
  <si>
    <t>Ls</t>
  </si>
  <si>
    <t>Length of each strand</t>
  </si>
  <si>
    <t>Rp</t>
  </si>
  <si>
    <t>Pp</t>
  </si>
  <si>
    <t>Total Loss</t>
  </si>
  <si>
    <t>Core loss</t>
  </si>
  <si>
    <t>Transformer design example</t>
  </si>
  <si>
    <t>V-s</t>
  </si>
  <si>
    <t>42/21/15</t>
  </si>
  <si>
    <t>E36/21/12</t>
  </si>
  <si>
    <t>E35/18/12</t>
  </si>
  <si>
    <t>DBMax</t>
  </si>
  <si>
    <t>Max change in B field</t>
  </si>
  <si>
    <t>DBmax</t>
  </si>
  <si>
    <t>Max delta flux density</t>
  </si>
  <si>
    <t>P18/11</t>
  </si>
  <si>
    <t>P14/8</t>
  </si>
  <si>
    <t>P14/8/l</t>
  </si>
  <si>
    <t>Total losses (core plus copper plua awitching)</t>
  </si>
  <si>
    <t>Max AC flux density</t>
  </si>
  <si>
    <t>Core number</t>
  </si>
  <si>
    <t>"width" (mm)</t>
  </si>
  <si>
    <t>"height" (mm)</t>
  </si>
  <si>
    <t>"thickness" (mm)</t>
  </si>
  <si>
    <t>Ve (mm^3)</t>
  </si>
  <si>
    <t>Ae (mm^2)</t>
  </si>
  <si>
    <t>Mass (g)</t>
  </si>
  <si>
    <t>ID (mm)</t>
  </si>
  <si>
    <t>OD (mm)</t>
  </si>
  <si>
    <t>H/2 (mm)</t>
  </si>
  <si>
    <t>Le (mm)</t>
  </si>
  <si>
    <t>Ae (m^2)</t>
  </si>
  <si>
    <t>Ve (m^3)</t>
  </si>
  <si>
    <t>Le (m)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</si>
</sst>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0.0000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3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6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11" fontId="0" fillId="0" borderId="0" xfId="0" applyNumberFormat="1"/>
    <xf numFmtId="2" fontId="0" fillId="0" borderId="0" xfId="0" applyNumberFormat="1"/>
    <xf numFmtId="0" fontId="1" fillId="0" borderId="0" xfId="0" applyFont="1"/>
    <xf numFmtId="1" fontId="0" fillId="0" borderId="0" xfId="0" applyNumberFormat="1"/>
    <xf numFmtId="0" fontId="0" fillId="0" borderId="0" xfId="0" applyFon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4" fillId="0" borderId="0" xfId="0" applyFont="1"/>
    <xf numFmtId="0" fontId="4" fillId="0" borderId="0" xfId="0" applyNumberFormat="1" applyFont="1"/>
  </cellXfs>
  <cellStyles count="26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tyles" Target="styles.xml"/><Relationship Id="rId12" Type="http://schemas.openxmlformats.org/officeDocument/2006/relationships/sharedStrings" Target="sharedStrings.xml"/><Relationship Id="rId13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opLeftCell="A3" workbookViewId="0">
      <selection activeCell="A7" sqref="A7:D7"/>
    </sheetView>
  </sheetViews>
  <sheetFormatPr baseColWidth="10" defaultRowHeight="16" x14ac:dyDescent="0.2"/>
  <cols>
    <col min="4" max="4" width="25.83203125" bestFit="1" customWidth="1"/>
  </cols>
  <sheetData>
    <row r="1" spans="1:4" x14ac:dyDescent="0.2">
      <c r="A1" s="3" t="s">
        <v>0</v>
      </c>
    </row>
    <row r="3" spans="1:4" x14ac:dyDescent="0.2">
      <c r="A3" s="3" t="s">
        <v>21</v>
      </c>
    </row>
    <row r="4" spans="1:4" x14ac:dyDescent="0.2">
      <c r="A4" t="s">
        <v>1</v>
      </c>
      <c r="B4" s="1">
        <v>2.1999999999999999E-5</v>
      </c>
      <c r="C4" t="s">
        <v>5</v>
      </c>
      <c r="D4" t="s">
        <v>2</v>
      </c>
    </row>
    <row r="5" spans="1:4" x14ac:dyDescent="0.2">
      <c r="A5" t="s">
        <v>3</v>
      </c>
      <c r="B5">
        <v>10</v>
      </c>
      <c r="C5" t="s">
        <v>4</v>
      </c>
      <c r="D5" t="s">
        <v>6</v>
      </c>
    </row>
    <row r="6" spans="1:4" x14ac:dyDescent="0.2">
      <c r="A6" t="s">
        <v>7</v>
      </c>
      <c r="B6">
        <v>0.1</v>
      </c>
      <c r="C6" t="s">
        <v>8</v>
      </c>
      <c r="D6" t="s">
        <v>9</v>
      </c>
    </row>
    <row r="7" spans="1:4" x14ac:dyDescent="0.2">
      <c r="A7" t="s">
        <v>121</v>
      </c>
      <c r="B7">
        <v>0.05</v>
      </c>
      <c r="C7" t="s">
        <v>8</v>
      </c>
      <c r="D7" t="s">
        <v>122</v>
      </c>
    </row>
    <row r="8" spans="1:4" x14ac:dyDescent="0.2">
      <c r="A8" t="s">
        <v>35</v>
      </c>
      <c r="B8">
        <v>0.01</v>
      </c>
      <c r="C8" t="s">
        <v>36</v>
      </c>
      <c r="D8" t="s">
        <v>37</v>
      </c>
    </row>
    <row r="9" spans="1:4" x14ac:dyDescent="0.2">
      <c r="A9" t="s">
        <v>49</v>
      </c>
      <c r="B9" s="1">
        <v>100000</v>
      </c>
      <c r="C9" t="s">
        <v>50</v>
      </c>
      <c r="D9" t="s">
        <v>51</v>
      </c>
    </row>
    <row r="11" spans="1:4" x14ac:dyDescent="0.2">
      <c r="A11" s="3" t="s">
        <v>22</v>
      </c>
    </row>
    <row r="12" spans="1:4" x14ac:dyDescent="0.2">
      <c r="A12" t="s">
        <v>10</v>
      </c>
      <c r="B12">
        <f>4*ATAN(1)</f>
        <v>3.1415926535897931</v>
      </c>
    </row>
    <row r="13" spans="1:4" x14ac:dyDescent="0.2">
      <c r="A13" t="s">
        <v>11</v>
      </c>
      <c r="B13" s="1">
        <f>4*3.14159*0.0000001</f>
        <v>1.2566359999999999E-6</v>
      </c>
    </row>
    <row r="14" spans="1:4" x14ac:dyDescent="0.2">
      <c r="A14" t="s">
        <v>39</v>
      </c>
      <c r="B14" s="1">
        <v>8.4000000000000005E-2</v>
      </c>
      <c r="C14" t="s">
        <v>40</v>
      </c>
      <c r="D14" t="s">
        <v>41</v>
      </c>
    </row>
    <row r="15" spans="1:4" x14ac:dyDescent="0.2">
      <c r="A15" t="s">
        <v>19</v>
      </c>
      <c r="B15" s="1">
        <v>0.2</v>
      </c>
      <c r="C15" t="s">
        <v>48</v>
      </c>
      <c r="D15" t="s">
        <v>41</v>
      </c>
    </row>
    <row r="17" spans="1:4" x14ac:dyDescent="0.2">
      <c r="A17" s="3" t="s">
        <v>23</v>
      </c>
    </row>
    <row r="18" spans="1:4" x14ac:dyDescent="0.2">
      <c r="A18" t="s">
        <v>12</v>
      </c>
      <c r="B18" t="s">
        <v>13</v>
      </c>
    </row>
    <row r="19" spans="1:4" x14ac:dyDescent="0.2">
      <c r="A19" t="s">
        <v>14</v>
      </c>
      <c r="B19" s="1">
        <v>1.6699999999999999E-4</v>
      </c>
      <c r="C19" t="s">
        <v>24</v>
      </c>
    </row>
    <row r="20" spans="1:4" x14ac:dyDescent="0.2">
      <c r="A20" t="s">
        <v>15</v>
      </c>
      <c r="B20" s="1">
        <v>7.4700000000000003E-2</v>
      </c>
      <c r="C20" t="s">
        <v>25</v>
      </c>
    </row>
    <row r="21" spans="1:4" x14ac:dyDescent="0.2">
      <c r="A21" t="s">
        <v>16</v>
      </c>
      <c r="B21" s="1">
        <v>1.2500000000000001E-5</v>
      </c>
      <c r="C21" t="s">
        <v>26</v>
      </c>
    </row>
    <row r="22" spans="1:4" x14ac:dyDescent="0.2">
      <c r="A22" t="s">
        <v>17</v>
      </c>
      <c r="B22" s="2">
        <v>27.5</v>
      </c>
      <c r="C22" t="s">
        <v>27</v>
      </c>
    </row>
    <row r="23" spans="1:4" x14ac:dyDescent="0.2">
      <c r="A23" t="s">
        <v>18</v>
      </c>
      <c r="B23" s="2">
        <v>13.5</v>
      </c>
      <c r="C23" t="s">
        <v>27</v>
      </c>
    </row>
    <row r="24" spans="1:4" x14ac:dyDescent="0.2">
      <c r="A24" t="s">
        <v>5</v>
      </c>
      <c r="B24" s="2">
        <v>21.3</v>
      </c>
      <c r="C24" t="s">
        <v>27</v>
      </c>
    </row>
    <row r="25" spans="1:4" x14ac:dyDescent="0.2">
      <c r="A25" t="s">
        <v>19</v>
      </c>
      <c r="B25" s="1">
        <f>0.000001*B24*(B22-B23)/2</f>
        <v>1.4909999999999999E-4</v>
      </c>
      <c r="C25" t="s">
        <v>24</v>
      </c>
    </row>
    <row r="26" spans="1:4" x14ac:dyDescent="0.2">
      <c r="A26" t="s">
        <v>20</v>
      </c>
      <c r="B26" s="4">
        <f>2*$B$12*(B22+B23)/4</f>
        <v>64.402649398590754</v>
      </c>
      <c r="C26" t="s">
        <v>27</v>
      </c>
    </row>
    <row r="28" spans="1:4" x14ac:dyDescent="0.2">
      <c r="A28" s="3" t="s">
        <v>64</v>
      </c>
    </row>
    <row r="29" spans="1:4" x14ac:dyDescent="0.2">
      <c r="A29" t="s">
        <v>57</v>
      </c>
      <c r="B29" s="4">
        <v>80</v>
      </c>
      <c r="C29" t="s">
        <v>58</v>
      </c>
      <c r="D29" t="s">
        <v>59</v>
      </c>
    </row>
    <row r="30" spans="1:4" x14ac:dyDescent="0.2">
      <c r="A30" t="s">
        <v>60</v>
      </c>
      <c r="B30" s="2">
        <v>2.5</v>
      </c>
      <c r="D30" t="s">
        <v>61</v>
      </c>
    </row>
    <row r="31" spans="1:4" x14ac:dyDescent="0.2">
      <c r="A31" t="s">
        <v>62</v>
      </c>
      <c r="B31" s="2">
        <v>1.65</v>
      </c>
      <c r="D31" t="s">
        <v>63</v>
      </c>
    </row>
    <row r="33" spans="1:4" x14ac:dyDescent="0.2">
      <c r="A33" s="3" t="s">
        <v>28</v>
      </c>
    </row>
    <row r="34" spans="1:4" x14ac:dyDescent="0.2">
      <c r="A34" t="s">
        <v>29</v>
      </c>
      <c r="B34" s="4">
        <f>ROUND(B4*B5/(B6*B19),1)</f>
        <v>13.2</v>
      </c>
      <c r="C34" t="s">
        <v>30</v>
      </c>
      <c r="D34" t="s">
        <v>32</v>
      </c>
    </row>
    <row r="35" spans="1:4" x14ac:dyDescent="0.2">
      <c r="A35" t="s">
        <v>31</v>
      </c>
      <c r="B35" s="2">
        <f>1000*(B34^2)*B13*B19/B4</f>
        <v>1.6620770390399995</v>
      </c>
      <c r="C35" t="s">
        <v>27</v>
      </c>
      <c r="D35" t="s">
        <v>33</v>
      </c>
    </row>
    <row r="37" spans="1:4" x14ac:dyDescent="0.2">
      <c r="A37" s="3" t="s">
        <v>34</v>
      </c>
    </row>
    <row r="38" spans="1:4" x14ac:dyDescent="0.2">
      <c r="A38" t="s">
        <v>43</v>
      </c>
      <c r="B38" s="2">
        <f>B34*B26*0.001</f>
        <v>0.85011497206139797</v>
      </c>
      <c r="C38" t="s">
        <v>25</v>
      </c>
      <c r="D38" t="s">
        <v>38</v>
      </c>
    </row>
    <row r="39" spans="1:4" x14ac:dyDescent="0.2">
      <c r="A39" t="s">
        <v>44</v>
      </c>
      <c r="B39" s="2">
        <f>B38*B14</f>
        <v>7.1409657653157432E-2</v>
      </c>
      <c r="C39" t="s">
        <v>36</v>
      </c>
      <c r="D39" t="s">
        <v>42</v>
      </c>
    </row>
    <row r="40" spans="1:4" x14ac:dyDescent="0.2">
      <c r="A40" t="s">
        <v>45</v>
      </c>
      <c r="B40">
        <f>CEILING(B39/B8,1)</f>
        <v>8</v>
      </c>
      <c r="C40" t="s">
        <v>46</v>
      </c>
      <c r="D40" t="s">
        <v>47</v>
      </c>
    </row>
    <row r="41" spans="1:4" x14ac:dyDescent="0.2">
      <c r="A41" t="s">
        <v>52</v>
      </c>
      <c r="B41" s="1">
        <f>B40*B34*B15*0.000001</f>
        <v>2.1120000000000001E-5</v>
      </c>
      <c r="C41" t="s">
        <v>24</v>
      </c>
      <c r="D41" t="s">
        <v>53</v>
      </c>
    </row>
    <row r="42" spans="1:4" x14ac:dyDescent="0.2">
      <c r="A42" t="s">
        <v>54</v>
      </c>
      <c r="B42" s="2">
        <f>B41/B25</f>
        <v>0.14164989939637829</v>
      </c>
      <c r="D42" t="s">
        <v>55</v>
      </c>
    </row>
    <row r="43" spans="1:4" x14ac:dyDescent="0.2">
      <c r="A43" t="s">
        <v>39</v>
      </c>
      <c r="B43" s="2">
        <f>B39/B40</f>
        <v>8.926207206644679E-3</v>
      </c>
      <c r="C43" t="s">
        <v>36</v>
      </c>
      <c r="D43" t="s">
        <v>68</v>
      </c>
    </row>
    <row r="44" spans="1:4" x14ac:dyDescent="0.2">
      <c r="A44" t="s">
        <v>67</v>
      </c>
      <c r="B44" s="2">
        <f>(B5^2)*B43</f>
        <v>0.89262072066446785</v>
      </c>
      <c r="C44" t="s">
        <v>65</v>
      </c>
      <c r="D44" t="s">
        <v>69</v>
      </c>
    </row>
    <row r="46" spans="1:4" x14ac:dyDescent="0.2">
      <c r="A46" s="3" t="s">
        <v>56</v>
      </c>
    </row>
    <row r="47" spans="1:4" x14ac:dyDescent="0.2">
      <c r="A47" t="s">
        <v>57</v>
      </c>
      <c r="B47" s="2">
        <f>1000*B21*B29*(B7/0.1)^B30*(B9/100000)^B31</f>
        <v>0.17677669529663689</v>
      </c>
      <c r="C47" t="s">
        <v>65</v>
      </c>
      <c r="D47" t="s">
        <v>66</v>
      </c>
    </row>
    <row r="48" spans="1:4" x14ac:dyDescent="0.2">
      <c r="B48" s="2"/>
    </row>
    <row r="49" spans="1:4" x14ac:dyDescent="0.2">
      <c r="A49" t="s">
        <v>70</v>
      </c>
      <c r="B49" s="2">
        <f>B47+B44</f>
        <v>1.0693974159611048</v>
      </c>
      <c r="C49" t="s">
        <v>65</v>
      </c>
      <c r="D49" t="s">
        <v>71</v>
      </c>
    </row>
  </sheetData>
  <pageMargins left="0.75" right="0.75" top="1" bottom="1" header="0.5" footer="0.5"/>
  <pageSetup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workbookViewId="0">
      <selection sqref="A1:H42"/>
    </sheetView>
  </sheetViews>
  <sheetFormatPr baseColWidth="10" defaultRowHeight="16" x14ac:dyDescent="0.2"/>
  <cols>
    <col min="8" max="8" width="23.33203125" bestFit="1" customWidth="1"/>
  </cols>
  <sheetData>
    <row r="1" spans="1:8" x14ac:dyDescent="0.2">
      <c r="A1" s="3" t="s">
        <v>0</v>
      </c>
      <c r="B1" s="3"/>
    </row>
    <row r="2" spans="1:8" x14ac:dyDescent="0.2">
      <c r="A2" s="3" t="s">
        <v>21</v>
      </c>
      <c r="B2" s="3"/>
    </row>
    <row r="3" spans="1:8" x14ac:dyDescent="0.2">
      <c r="A3" t="s">
        <v>1</v>
      </c>
      <c r="B3" s="1">
        <v>2.1999999999999999E-5</v>
      </c>
      <c r="C3" s="1">
        <v>2.1999999999999999E-5</v>
      </c>
      <c r="D3" s="1">
        <v>2.1999999999999999E-5</v>
      </c>
      <c r="E3" s="1">
        <v>2.1999999999999999E-5</v>
      </c>
      <c r="F3" s="1">
        <v>2.1999999999999999E-5</v>
      </c>
      <c r="G3" t="s">
        <v>5</v>
      </c>
      <c r="H3" t="s">
        <v>2</v>
      </c>
    </row>
    <row r="4" spans="1:8" x14ac:dyDescent="0.2">
      <c r="A4" t="s">
        <v>3</v>
      </c>
      <c r="B4">
        <v>10</v>
      </c>
      <c r="C4">
        <v>10</v>
      </c>
      <c r="D4">
        <v>10</v>
      </c>
      <c r="E4">
        <v>10</v>
      </c>
      <c r="F4">
        <v>10</v>
      </c>
      <c r="G4" t="s">
        <v>4</v>
      </c>
      <c r="H4" t="s">
        <v>6</v>
      </c>
    </row>
    <row r="5" spans="1:8" x14ac:dyDescent="0.2">
      <c r="A5" t="s">
        <v>7</v>
      </c>
      <c r="B5">
        <v>0.1</v>
      </c>
      <c r="C5">
        <v>0.1</v>
      </c>
      <c r="D5">
        <v>0.1</v>
      </c>
      <c r="E5">
        <v>0.1</v>
      </c>
      <c r="F5">
        <v>0.1</v>
      </c>
      <c r="G5" t="s">
        <v>8</v>
      </c>
      <c r="H5" t="s">
        <v>9</v>
      </c>
    </row>
    <row r="6" spans="1:8" x14ac:dyDescent="0.2">
      <c r="A6" t="s">
        <v>121</v>
      </c>
      <c r="B6">
        <v>0.05</v>
      </c>
      <c r="C6">
        <v>0.05</v>
      </c>
      <c r="D6">
        <f>C6</f>
        <v>0.05</v>
      </c>
      <c r="E6">
        <f t="shared" ref="E6:F6" si="0">D6</f>
        <v>0.05</v>
      </c>
      <c r="F6">
        <f t="shared" si="0"/>
        <v>0.05</v>
      </c>
      <c r="G6" t="s">
        <v>8</v>
      </c>
      <c r="H6" t="s">
        <v>122</v>
      </c>
    </row>
    <row r="7" spans="1:8" x14ac:dyDescent="0.2">
      <c r="A7" t="s">
        <v>35</v>
      </c>
      <c r="B7">
        <v>0.01</v>
      </c>
      <c r="C7">
        <v>0.01</v>
      </c>
      <c r="D7">
        <v>0.01</v>
      </c>
      <c r="E7">
        <v>0.01</v>
      </c>
      <c r="F7">
        <v>0.01</v>
      </c>
      <c r="G7" t="s">
        <v>36</v>
      </c>
      <c r="H7" t="s">
        <v>37</v>
      </c>
    </row>
    <row r="8" spans="1:8" x14ac:dyDescent="0.2">
      <c r="A8" t="s">
        <v>49</v>
      </c>
      <c r="B8" s="1">
        <v>100000</v>
      </c>
      <c r="C8" s="1">
        <v>100000</v>
      </c>
      <c r="D8" s="1">
        <v>100000</v>
      </c>
      <c r="E8" s="1">
        <v>100000</v>
      </c>
      <c r="F8" s="1">
        <v>100000</v>
      </c>
      <c r="G8" t="s">
        <v>50</v>
      </c>
      <c r="H8" t="s">
        <v>51</v>
      </c>
    </row>
    <row r="9" spans="1:8" x14ac:dyDescent="0.2">
      <c r="A9" s="3" t="s">
        <v>22</v>
      </c>
    </row>
    <row r="10" spans="1:8" x14ac:dyDescent="0.2">
      <c r="A10" t="s">
        <v>10</v>
      </c>
      <c r="B10">
        <f>4*ATAN(1)</f>
        <v>3.1415926535897931</v>
      </c>
      <c r="C10">
        <f>4*ATAN(1)</f>
        <v>3.1415926535897931</v>
      </c>
      <c r="D10">
        <f>4*ATAN(1)</f>
        <v>3.1415926535897931</v>
      </c>
      <c r="E10">
        <f>4*ATAN(1)</f>
        <v>3.1415926535897931</v>
      </c>
      <c r="F10">
        <f>4*ATAN(1)</f>
        <v>3.1415926535897931</v>
      </c>
    </row>
    <row r="11" spans="1:8" x14ac:dyDescent="0.2">
      <c r="A11" t="s">
        <v>11</v>
      </c>
      <c r="B11" s="1">
        <f>4*3.14159*0.0000001</f>
        <v>1.2566359999999999E-6</v>
      </c>
      <c r="C11" s="1">
        <f>4*3.14159*0.0000001</f>
        <v>1.2566359999999999E-6</v>
      </c>
      <c r="D11" s="1">
        <f>4*3.14159*0.0000001</f>
        <v>1.2566359999999999E-6</v>
      </c>
      <c r="E11" s="1">
        <f>4*3.14159*0.0000001</f>
        <v>1.2566359999999999E-6</v>
      </c>
      <c r="F11" s="1">
        <f>4*3.14159*0.0000001</f>
        <v>1.2566359999999999E-6</v>
      </c>
    </row>
    <row r="12" spans="1:8" x14ac:dyDescent="0.2">
      <c r="A12" t="s">
        <v>39</v>
      </c>
      <c r="B12" s="1">
        <v>8.4000000000000005E-2</v>
      </c>
      <c r="C12" s="1">
        <v>8.4000000000000005E-2</v>
      </c>
      <c r="D12" s="1">
        <v>8.4000000000000005E-2</v>
      </c>
      <c r="E12" s="1">
        <v>8.4000000000000005E-2</v>
      </c>
      <c r="F12" s="1">
        <v>8.4000000000000005E-2</v>
      </c>
      <c r="G12" t="s">
        <v>40</v>
      </c>
      <c r="H12" t="s">
        <v>41</v>
      </c>
    </row>
    <row r="13" spans="1:8" x14ac:dyDescent="0.2">
      <c r="A13" t="s">
        <v>19</v>
      </c>
      <c r="B13" s="1">
        <v>0.2</v>
      </c>
      <c r="C13" s="1">
        <v>0.2</v>
      </c>
      <c r="D13" s="1">
        <v>0.2</v>
      </c>
      <c r="E13" s="1">
        <v>0.2</v>
      </c>
      <c r="F13" s="1">
        <v>0.2</v>
      </c>
      <c r="G13" t="s">
        <v>48</v>
      </c>
      <c r="H13" t="s">
        <v>41</v>
      </c>
    </row>
    <row r="14" spans="1:8" x14ac:dyDescent="0.2">
      <c r="A14" s="3" t="s">
        <v>64</v>
      </c>
    </row>
    <row r="15" spans="1:8" x14ac:dyDescent="0.2">
      <c r="A15" t="s">
        <v>57</v>
      </c>
      <c r="B15" s="4">
        <v>80</v>
      </c>
      <c r="C15" s="4">
        <v>80</v>
      </c>
      <c r="D15" s="4">
        <v>80</v>
      </c>
      <c r="E15" s="4">
        <v>80</v>
      </c>
      <c r="F15" s="4">
        <v>80</v>
      </c>
      <c r="G15" t="s">
        <v>58</v>
      </c>
      <c r="H15" t="s">
        <v>59</v>
      </c>
    </row>
    <row r="16" spans="1:8" x14ac:dyDescent="0.2">
      <c r="A16" t="s">
        <v>60</v>
      </c>
      <c r="B16" s="2">
        <v>2.5</v>
      </c>
      <c r="C16" s="2">
        <v>2.5</v>
      </c>
      <c r="D16" s="2">
        <v>2.5</v>
      </c>
      <c r="E16" s="2">
        <v>2.5</v>
      </c>
      <c r="F16" s="2">
        <v>2.5</v>
      </c>
      <c r="H16" t="s">
        <v>61</v>
      </c>
    </row>
    <row r="17" spans="1:10" x14ac:dyDescent="0.2">
      <c r="A17" t="s">
        <v>62</v>
      </c>
      <c r="B17" s="2">
        <v>1.65</v>
      </c>
      <c r="C17" s="2">
        <v>1.65</v>
      </c>
      <c r="D17" s="2">
        <v>1.65</v>
      </c>
      <c r="E17" s="2">
        <v>1.65</v>
      </c>
      <c r="F17" s="2">
        <v>1.65</v>
      </c>
      <c r="H17" t="s">
        <v>63</v>
      </c>
    </row>
    <row r="18" spans="1:10" x14ac:dyDescent="0.2">
      <c r="A18" s="3" t="s">
        <v>23</v>
      </c>
      <c r="B18" s="3"/>
    </row>
    <row r="19" spans="1:10" x14ac:dyDescent="0.2">
      <c r="A19" t="s">
        <v>12</v>
      </c>
      <c r="B19" t="s">
        <v>77</v>
      </c>
      <c r="C19" t="s">
        <v>72</v>
      </c>
      <c r="D19" t="s">
        <v>74</v>
      </c>
      <c r="E19" t="s">
        <v>73</v>
      </c>
      <c r="F19" t="s">
        <v>13</v>
      </c>
    </row>
    <row r="20" spans="1:10" x14ac:dyDescent="0.2">
      <c r="A20" t="s">
        <v>14</v>
      </c>
      <c r="B20" s="1">
        <v>6.19E-5</v>
      </c>
      <c r="C20" s="1">
        <v>6.2600000000000004E-5</v>
      </c>
      <c r="D20" s="1">
        <v>1.21E-4</v>
      </c>
      <c r="E20" s="1">
        <v>1.2E-4</v>
      </c>
      <c r="F20" s="1">
        <v>1.6699999999999999E-4</v>
      </c>
      <c r="G20" t="s">
        <v>24</v>
      </c>
    </row>
    <row r="21" spans="1:10" x14ac:dyDescent="0.2">
      <c r="A21" t="s">
        <v>15</v>
      </c>
      <c r="B21" s="1">
        <v>3.7600000000000001E-2</v>
      </c>
      <c r="C21" s="1">
        <v>4.5699999999999998E-2</v>
      </c>
      <c r="D21" s="1">
        <v>4.4999999999999998E-2</v>
      </c>
      <c r="E21" s="1">
        <v>5.4300000000000001E-2</v>
      </c>
      <c r="F21" s="1">
        <v>7.4700000000000003E-2</v>
      </c>
      <c r="G21" t="s">
        <v>25</v>
      </c>
    </row>
    <row r="22" spans="1:10" x14ac:dyDescent="0.2">
      <c r="A22" t="s">
        <v>16</v>
      </c>
      <c r="B22" s="1">
        <v>2.3300000000000001E-6</v>
      </c>
      <c r="C22" s="1">
        <v>2.8499999999999998E-6</v>
      </c>
      <c r="D22" s="1">
        <v>5.4700000000000001E-6</v>
      </c>
      <c r="E22" s="1">
        <v>5.8200000000000002E-6</v>
      </c>
      <c r="F22" s="1">
        <v>1.2500000000000001E-5</v>
      </c>
      <c r="G22" t="s">
        <v>26</v>
      </c>
    </row>
    <row r="23" spans="1:10" x14ac:dyDescent="0.2">
      <c r="A23" t="s">
        <v>17</v>
      </c>
      <c r="B23" s="2">
        <v>18</v>
      </c>
      <c r="C23" s="2">
        <v>18</v>
      </c>
      <c r="D23" s="2">
        <v>22</v>
      </c>
      <c r="E23" s="2">
        <v>22.5</v>
      </c>
      <c r="F23" s="2">
        <v>27.5</v>
      </c>
      <c r="G23" t="s">
        <v>27</v>
      </c>
      <c r="J23" s="2"/>
    </row>
    <row r="24" spans="1:10" x14ac:dyDescent="0.2">
      <c r="A24" t="s">
        <v>18</v>
      </c>
      <c r="B24" s="2">
        <v>8.8000000000000007</v>
      </c>
      <c r="C24" s="2">
        <v>8.8000000000000007</v>
      </c>
      <c r="D24" s="2">
        <v>12</v>
      </c>
      <c r="E24" s="2">
        <v>12</v>
      </c>
      <c r="F24" s="2">
        <v>13.5</v>
      </c>
      <c r="G24" t="s">
        <v>27</v>
      </c>
      <c r="J24" s="2"/>
    </row>
    <row r="25" spans="1:10" x14ac:dyDescent="0.2">
      <c r="A25" t="s">
        <v>5</v>
      </c>
      <c r="B25" s="2">
        <v>10.3</v>
      </c>
      <c r="C25" s="2">
        <v>14</v>
      </c>
      <c r="D25" s="2">
        <v>11.5</v>
      </c>
      <c r="E25" s="2">
        <v>16.100000000000001</v>
      </c>
      <c r="F25" s="2">
        <v>21.3</v>
      </c>
      <c r="G25" t="s">
        <v>27</v>
      </c>
      <c r="J25" s="2"/>
    </row>
    <row r="26" spans="1:10" x14ac:dyDescent="0.2">
      <c r="A26" t="s">
        <v>19</v>
      </c>
      <c r="B26" s="1">
        <f>0.000001*B25*(B23-B24)/2</f>
        <v>4.7379999999999997E-5</v>
      </c>
      <c r="C26" s="1">
        <f>0.000001*C25*(C23-C24)/2</f>
        <v>6.4399999999999993E-5</v>
      </c>
      <c r="D26" s="1">
        <f>0.000001*D25*(D23-D24)/2</f>
        <v>5.7500000000000002E-5</v>
      </c>
      <c r="E26" s="1">
        <f>0.000001*E25*(E23-E24)/2</f>
        <v>8.4525000000000008E-5</v>
      </c>
      <c r="F26" s="1">
        <f>0.000001*F25*(F23-F24)/2</f>
        <v>1.4909999999999999E-4</v>
      </c>
      <c r="G26" t="s">
        <v>24</v>
      </c>
    </row>
    <row r="27" spans="1:10" x14ac:dyDescent="0.2">
      <c r="A27" t="s">
        <v>20</v>
      </c>
      <c r="B27" s="4">
        <f>2*$C$10*(B23+B24)/4</f>
        <v>42.097341558103231</v>
      </c>
      <c r="C27" s="4">
        <f>2*$C$10*(C23+C24)/4</f>
        <v>42.097341558103231</v>
      </c>
      <c r="D27" s="4">
        <f>2*$C$10*(D23+D24)/4</f>
        <v>53.407075111026487</v>
      </c>
      <c r="E27" s="4">
        <f>2*$C$10*(E23+E24)/4</f>
        <v>54.192473274423932</v>
      </c>
      <c r="F27" s="4">
        <f>2*$C$10*(F23+F24)/4</f>
        <v>64.402649398590754</v>
      </c>
      <c r="G27" t="s">
        <v>27</v>
      </c>
    </row>
    <row r="28" spans="1:10" x14ac:dyDescent="0.2">
      <c r="A28" s="3" t="s">
        <v>28</v>
      </c>
      <c r="B28" s="3"/>
    </row>
    <row r="29" spans="1:10" x14ac:dyDescent="0.2">
      <c r="A29" t="s">
        <v>29</v>
      </c>
      <c r="B29" s="4">
        <f>ROUND(B3*B4/(B5*B20),1)</f>
        <v>35.5</v>
      </c>
      <c r="C29" s="4">
        <f>ROUND(C3*C4/(C5*C20),1)</f>
        <v>35.1</v>
      </c>
      <c r="D29" s="4">
        <f>ROUND(D3*D4/(D5*D20),1)</f>
        <v>18.2</v>
      </c>
      <c r="E29" s="4">
        <f>ROUND(E3*E4/(E5*E20),1)</f>
        <v>18.3</v>
      </c>
      <c r="F29" s="4">
        <f>ROUND(F3*F4/(F5*F20),1)</f>
        <v>13.2</v>
      </c>
      <c r="G29" t="s">
        <v>30</v>
      </c>
      <c r="H29" t="s">
        <v>32</v>
      </c>
    </row>
    <row r="30" spans="1:10" x14ac:dyDescent="0.2">
      <c r="A30" t="s">
        <v>31</v>
      </c>
      <c r="B30" s="2">
        <f>1000*(B29^2)*B11*B20/B3</f>
        <v>4.4558870284590908</v>
      </c>
      <c r="C30" s="2">
        <f>1000*(C29^2)*C11*C20/C3</f>
        <v>4.4052989186061824</v>
      </c>
      <c r="D30" s="2">
        <f>1000*(D29^2)*D11*D20/D3</f>
        <v>2.2893645975199992</v>
      </c>
      <c r="E30" s="2">
        <f>1000*(E29^2)*E11*E20/E3</f>
        <v>2.2954627093090911</v>
      </c>
      <c r="F30" s="2">
        <f>1000*(F29^2)*F11*F20/F3</f>
        <v>1.6620770390399995</v>
      </c>
      <c r="G30" t="s">
        <v>27</v>
      </c>
      <c r="H30" t="s">
        <v>33</v>
      </c>
    </row>
    <row r="31" spans="1:10" x14ac:dyDescent="0.2">
      <c r="A31" s="3" t="s">
        <v>34</v>
      </c>
    </row>
    <row r="32" spans="1:10" x14ac:dyDescent="0.2">
      <c r="A32" t="s">
        <v>43</v>
      </c>
      <c r="B32" s="2">
        <f>B29*B27*0.001</f>
        <v>1.4944556253126648</v>
      </c>
      <c r="C32" s="2">
        <f>C29*C27*0.001</f>
        <v>1.4776166886894235</v>
      </c>
      <c r="D32" s="2">
        <f>D29*D27*0.001</f>
        <v>0.97200876702068206</v>
      </c>
      <c r="E32" s="2">
        <f>E29*E27*0.001</f>
        <v>0.99172226092195803</v>
      </c>
      <c r="F32" s="2">
        <f>F29*F27*0.001</f>
        <v>0.85011497206139797</v>
      </c>
      <c r="G32" t="s">
        <v>25</v>
      </c>
      <c r="H32" t="s">
        <v>38</v>
      </c>
    </row>
    <row r="33" spans="1:8" x14ac:dyDescent="0.2">
      <c r="A33" t="s">
        <v>44</v>
      </c>
      <c r="B33" s="2">
        <f>B32*B12</f>
        <v>0.12553427252626387</v>
      </c>
      <c r="C33" s="2">
        <f>C32*C12</f>
        <v>0.12411980184991159</v>
      </c>
      <c r="D33" s="2">
        <f>D32*D12</f>
        <v>8.1648736429737301E-2</v>
      </c>
      <c r="E33" s="2">
        <f>E32*E12</f>
        <v>8.3304669917444479E-2</v>
      </c>
      <c r="F33" s="2">
        <f>F32*F12</f>
        <v>7.1409657653157432E-2</v>
      </c>
      <c r="G33" t="s">
        <v>36</v>
      </c>
      <c r="H33" t="s">
        <v>42</v>
      </c>
    </row>
    <row r="34" spans="1:8" x14ac:dyDescent="0.2">
      <c r="A34" t="s">
        <v>45</v>
      </c>
      <c r="B34">
        <f>CEILING(B33/B7,1)</f>
        <v>13</v>
      </c>
      <c r="C34">
        <f>CEILING(C33/C7,1)</f>
        <v>13</v>
      </c>
      <c r="D34">
        <f>CEILING(D33/D7,1)</f>
        <v>9</v>
      </c>
      <c r="E34">
        <f>CEILING(E33/E7,1)</f>
        <v>9</v>
      </c>
      <c r="F34">
        <f>CEILING(F33/F7,1)</f>
        <v>8</v>
      </c>
      <c r="G34" t="s">
        <v>46</v>
      </c>
      <c r="H34" t="s">
        <v>47</v>
      </c>
    </row>
    <row r="35" spans="1:8" x14ac:dyDescent="0.2">
      <c r="A35" t="s">
        <v>52</v>
      </c>
      <c r="B35" s="1">
        <f>B34*B29*B13*0.000001</f>
        <v>9.2300000000000007E-5</v>
      </c>
      <c r="C35" s="1">
        <f>C34*C29*C13*0.000001</f>
        <v>9.1260000000000004E-5</v>
      </c>
      <c r="D35" s="1">
        <f>D34*D29*D13*0.000001</f>
        <v>3.2759999999999998E-5</v>
      </c>
      <c r="E35" s="1">
        <f>E34*E29*E13*0.000001</f>
        <v>3.2940000000000006E-5</v>
      </c>
      <c r="F35" s="1">
        <f>F34*F29*F13*0.000001</f>
        <v>2.1120000000000001E-5</v>
      </c>
      <c r="G35" t="s">
        <v>24</v>
      </c>
      <c r="H35" t="s">
        <v>53</v>
      </c>
    </row>
    <row r="36" spans="1:8" x14ac:dyDescent="0.2">
      <c r="A36" t="s">
        <v>54</v>
      </c>
      <c r="B36" s="2">
        <f>B35/B26</f>
        <v>1.9480793583790632</v>
      </c>
      <c r="C36" s="2">
        <f>C35/C26</f>
        <v>1.4170807453416152</v>
      </c>
      <c r="D36" s="2">
        <f>D35/D26</f>
        <v>0.56973913043478253</v>
      </c>
      <c r="E36" s="2">
        <f>E35/E26</f>
        <v>0.38970718722271519</v>
      </c>
      <c r="F36" s="2">
        <f>F35/F26</f>
        <v>0.14164989939637829</v>
      </c>
      <c r="H36" t="s">
        <v>55</v>
      </c>
    </row>
    <row r="37" spans="1:8" x14ac:dyDescent="0.2">
      <c r="A37" t="s">
        <v>39</v>
      </c>
      <c r="B37" s="2">
        <f>B33/B34</f>
        <v>9.6564825020202978E-3</v>
      </c>
      <c r="C37" s="2">
        <f>C33/C34</f>
        <v>9.5476770653778152E-3</v>
      </c>
      <c r="D37" s="2">
        <f>D33/D34</f>
        <v>9.072081825526367E-3</v>
      </c>
      <c r="E37" s="2">
        <f>E33/E34</f>
        <v>9.2560744352716082E-3</v>
      </c>
      <c r="F37" s="2">
        <f>F33/F34</f>
        <v>8.926207206644679E-3</v>
      </c>
      <c r="G37" t="s">
        <v>36</v>
      </c>
      <c r="H37" t="s">
        <v>68</v>
      </c>
    </row>
    <row r="38" spans="1:8" x14ac:dyDescent="0.2">
      <c r="A38" t="s">
        <v>67</v>
      </c>
      <c r="B38" s="2">
        <f>(B4^2)*B37</f>
        <v>0.96564825020202982</v>
      </c>
      <c r="C38" s="2">
        <f>(C4^2)*C37</f>
        <v>0.95476770653778154</v>
      </c>
      <c r="D38" s="2">
        <f>(D4^2)*D37</f>
        <v>0.90720818255263669</v>
      </c>
      <c r="E38" s="2">
        <f>(E4^2)*E37</f>
        <v>0.92560744352716084</v>
      </c>
      <c r="F38" s="2">
        <f>(F4^2)*F37</f>
        <v>0.89262072066446785</v>
      </c>
      <c r="G38" t="s">
        <v>65</v>
      </c>
      <c r="H38" t="s">
        <v>69</v>
      </c>
    </row>
    <row r="39" spans="1:8" x14ac:dyDescent="0.2">
      <c r="A39" s="3" t="s">
        <v>56</v>
      </c>
    </row>
    <row r="40" spans="1:8" x14ac:dyDescent="0.2">
      <c r="A40" t="s">
        <v>57</v>
      </c>
      <c r="B40" s="2">
        <f>1000*B22*B15*(B6/0.1)^B16*(B8/100000)^B17</f>
        <v>3.2951176003293121E-2</v>
      </c>
      <c r="C40" s="2">
        <f>1000*C22*C15*(C6/0.1)^C16*(C8/100000)^C17</f>
        <v>4.0305086527633205E-2</v>
      </c>
      <c r="D40" s="2">
        <f t="shared" ref="D40:F40" si="1">1000*D22*D15*(D6/0.1)^D16*(D8/100000)^D17</f>
        <v>7.7357481861808297E-2</v>
      </c>
      <c r="E40" s="2">
        <f t="shared" si="1"/>
        <v>8.230722933011414E-2</v>
      </c>
      <c r="F40" s="2">
        <f t="shared" si="1"/>
        <v>0.17677669529663689</v>
      </c>
      <c r="G40" t="s">
        <v>65</v>
      </c>
      <c r="H40" t="s">
        <v>66</v>
      </c>
    </row>
    <row r="41" spans="1:8" x14ac:dyDescent="0.2">
      <c r="B41" s="2"/>
      <c r="C41" s="2"/>
      <c r="D41" s="2"/>
      <c r="E41" s="2"/>
      <c r="F41" s="2"/>
    </row>
    <row r="42" spans="1:8" x14ac:dyDescent="0.2">
      <c r="A42" t="s">
        <v>70</v>
      </c>
      <c r="B42" s="2">
        <f>B40+B38</f>
        <v>0.99859942620532294</v>
      </c>
      <c r="C42" s="2">
        <f>C40+C38</f>
        <v>0.99507279306541474</v>
      </c>
      <c r="D42" s="2">
        <f>D40+D38</f>
        <v>0.98456566441444493</v>
      </c>
      <c r="E42" s="2">
        <f>E40+E38</f>
        <v>1.007914672857275</v>
      </c>
      <c r="F42" s="2">
        <f>F40+F38</f>
        <v>1.0693974159611048</v>
      </c>
      <c r="G42" t="s">
        <v>65</v>
      </c>
      <c r="H42" t="s">
        <v>71</v>
      </c>
    </row>
  </sheetData>
  <pageMargins left="0.75" right="0.75" top="1" bottom="1" header="0.5" footer="0.5"/>
  <pageSetup orientation="portrait" horizontalDpi="4294967292" verticalDpi="429496729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workbookViewId="0">
      <selection activeCell="K10" sqref="K10"/>
    </sheetView>
  </sheetViews>
  <sheetFormatPr baseColWidth="10" defaultRowHeight="16" x14ac:dyDescent="0.2"/>
  <cols>
    <col min="10" max="10" width="8.33203125" bestFit="1" customWidth="1"/>
    <col min="11" max="11" width="25.83203125" bestFit="1" customWidth="1"/>
  </cols>
  <sheetData>
    <row r="1" spans="1:11" x14ac:dyDescent="0.2">
      <c r="A1" s="3" t="s">
        <v>0</v>
      </c>
      <c r="B1" s="3"/>
      <c r="C1" s="3"/>
      <c r="D1" s="3"/>
    </row>
    <row r="2" spans="1:11" x14ac:dyDescent="0.2">
      <c r="A2" s="3" t="s">
        <v>21</v>
      </c>
      <c r="B2" s="3"/>
      <c r="C2" s="3"/>
      <c r="D2" s="3"/>
    </row>
    <row r="3" spans="1:11" x14ac:dyDescent="0.2">
      <c r="A3" t="s">
        <v>1</v>
      </c>
      <c r="B3" s="1">
        <v>2.1999999999999999E-5</v>
      </c>
      <c r="C3" s="1">
        <v>2.1999999999999999E-5</v>
      </c>
      <c r="D3" s="1">
        <v>2.1999999999999999E-5</v>
      </c>
      <c r="E3" s="1">
        <v>2.1999999999999999E-5</v>
      </c>
      <c r="F3" s="1">
        <v>2.1999999999999999E-5</v>
      </c>
      <c r="G3" s="1">
        <v>2.1999999999999999E-5</v>
      </c>
      <c r="H3" s="1">
        <v>2.1999999999999999E-5</v>
      </c>
      <c r="I3" s="1">
        <v>2.1999999999999999E-5</v>
      </c>
      <c r="J3" t="s">
        <v>5</v>
      </c>
      <c r="K3" t="s">
        <v>2</v>
      </c>
    </row>
    <row r="4" spans="1:11" x14ac:dyDescent="0.2">
      <c r="A4" t="s">
        <v>3</v>
      </c>
      <c r="B4">
        <v>10</v>
      </c>
      <c r="C4">
        <v>10</v>
      </c>
      <c r="D4">
        <v>10</v>
      </c>
      <c r="E4">
        <v>10</v>
      </c>
      <c r="F4">
        <v>10</v>
      </c>
      <c r="G4">
        <v>10</v>
      </c>
      <c r="H4">
        <v>10</v>
      </c>
      <c r="I4">
        <v>10</v>
      </c>
      <c r="J4" t="s">
        <v>4</v>
      </c>
      <c r="K4" t="s">
        <v>6</v>
      </c>
    </row>
    <row r="5" spans="1:11" x14ac:dyDescent="0.2">
      <c r="A5" t="s">
        <v>49</v>
      </c>
      <c r="B5" s="1">
        <v>200000</v>
      </c>
      <c r="C5" s="1">
        <v>200000</v>
      </c>
      <c r="D5" s="1">
        <v>200000</v>
      </c>
      <c r="E5" s="1">
        <v>200000</v>
      </c>
      <c r="F5" s="1">
        <v>200000</v>
      </c>
      <c r="G5" s="1">
        <v>200000</v>
      </c>
      <c r="H5" s="1">
        <v>200000</v>
      </c>
      <c r="I5" s="1">
        <v>200000</v>
      </c>
      <c r="J5" t="s">
        <v>50</v>
      </c>
      <c r="K5" t="s">
        <v>51</v>
      </c>
    </row>
    <row r="6" spans="1:11" x14ac:dyDescent="0.2">
      <c r="A6" s="3" t="s">
        <v>76</v>
      </c>
      <c r="B6" s="1"/>
      <c r="C6" s="1"/>
      <c r="D6" s="1"/>
      <c r="E6" s="1"/>
      <c r="F6" s="1"/>
      <c r="G6" s="1"/>
      <c r="H6" s="1"/>
      <c r="I6" s="1"/>
    </row>
    <row r="7" spans="1:11" x14ac:dyDescent="0.2">
      <c r="A7" t="s">
        <v>123</v>
      </c>
      <c r="B7" s="2">
        <v>0.25</v>
      </c>
      <c r="C7" s="2">
        <v>0.25</v>
      </c>
      <c r="D7" s="2">
        <v>0.21</v>
      </c>
      <c r="E7" s="2">
        <v>0.13500000000000001</v>
      </c>
      <c r="F7" s="2">
        <v>0.12</v>
      </c>
      <c r="G7" s="2">
        <v>8.5000000000000006E-2</v>
      </c>
      <c r="H7" s="2">
        <v>7.4999999999999997E-2</v>
      </c>
      <c r="I7" s="2">
        <v>0.05</v>
      </c>
      <c r="J7" t="s">
        <v>8</v>
      </c>
      <c r="K7" t="s">
        <v>124</v>
      </c>
    </row>
    <row r="8" spans="1:11" x14ac:dyDescent="0.2">
      <c r="A8" t="s">
        <v>7</v>
      </c>
      <c r="B8" s="2">
        <f>2*B7</f>
        <v>0.5</v>
      </c>
      <c r="C8" s="2">
        <f>2*C7</f>
        <v>0.5</v>
      </c>
      <c r="D8" s="2">
        <f>2*D7</f>
        <v>0.42</v>
      </c>
      <c r="E8" s="2">
        <f>2*E7</f>
        <v>0.27</v>
      </c>
      <c r="F8" s="2">
        <f t="shared" ref="F8:I8" si="0">2*F7</f>
        <v>0.24</v>
      </c>
      <c r="G8" s="2">
        <f t="shared" si="0"/>
        <v>0.17</v>
      </c>
      <c r="H8" s="2">
        <f t="shared" si="0"/>
        <v>0.15</v>
      </c>
      <c r="I8" s="2">
        <f t="shared" si="0"/>
        <v>0.1</v>
      </c>
      <c r="J8" t="s">
        <v>8</v>
      </c>
      <c r="K8" t="s">
        <v>9</v>
      </c>
    </row>
    <row r="9" spans="1:11" x14ac:dyDescent="0.2">
      <c r="A9" s="3" t="s">
        <v>22</v>
      </c>
      <c r="B9" s="2"/>
      <c r="C9" s="2"/>
      <c r="D9" s="2"/>
      <c r="E9" s="2"/>
      <c r="F9" s="2"/>
      <c r="G9" s="2"/>
      <c r="H9" s="2"/>
      <c r="I9" s="2"/>
    </row>
    <row r="10" spans="1:11" x14ac:dyDescent="0.2">
      <c r="A10" t="s">
        <v>10</v>
      </c>
      <c r="B10" s="2">
        <f t="shared" ref="B10:I10" si="1">4*ATAN(1)</f>
        <v>3.1415926535897931</v>
      </c>
      <c r="C10" s="2">
        <f t="shared" si="1"/>
        <v>3.1415926535897931</v>
      </c>
      <c r="D10" s="2">
        <f t="shared" si="1"/>
        <v>3.1415926535897931</v>
      </c>
      <c r="E10" s="2">
        <f t="shared" si="1"/>
        <v>3.1415926535897931</v>
      </c>
      <c r="F10" s="2">
        <f t="shared" si="1"/>
        <v>3.1415926535897931</v>
      </c>
      <c r="G10" s="2">
        <f t="shared" si="1"/>
        <v>3.1415926535897931</v>
      </c>
      <c r="H10" s="2">
        <f t="shared" si="1"/>
        <v>3.1415926535897931</v>
      </c>
      <c r="I10" s="2">
        <f t="shared" si="1"/>
        <v>3.1415926535897931</v>
      </c>
    </row>
    <row r="11" spans="1:11" x14ac:dyDescent="0.2">
      <c r="A11" t="s">
        <v>11</v>
      </c>
      <c r="B11" s="1">
        <f t="shared" ref="B11:I11" si="2">4*3.14159*0.0000001</f>
        <v>1.2566359999999999E-6</v>
      </c>
      <c r="C11" s="1">
        <f t="shared" si="2"/>
        <v>1.2566359999999999E-6</v>
      </c>
      <c r="D11" s="1">
        <f t="shared" si="2"/>
        <v>1.2566359999999999E-6</v>
      </c>
      <c r="E11" s="1">
        <f t="shared" si="2"/>
        <v>1.2566359999999999E-6</v>
      </c>
      <c r="F11" s="1">
        <f t="shared" si="2"/>
        <v>1.2566359999999999E-6</v>
      </c>
      <c r="G11" s="1">
        <f t="shared" si="2"/>
        <v>1.2566359999999999E-6</v>
      </c>
      <c r="H11" s="1">
        <f t="shared" si="2"/>
        <v>1.2566359999999999E-6</v>
      </c>
      <c r="I11" s="1">
        <f t="shared" si="2"/>
        <v>1.2566359999999999E-6</v>
      </c>
    </row>
    <row r="12" spans="1:11" x14ac:dyDescent="0.2">
      <c r="A12" t="s">
        <v>39</v>
      </c>
      <c r="B12" s="1">
        <v>8.4000000000000005E-2</v>
      </c>
      <c r="C12" s="1">
        <v>8.4000000000000005E-2</v>
      </c>
      <c r="D12" s="1">
        <v>8.4000000000000005E-2</v>
      </c>
      <c r="E12" s="1">
        <v>8.4000000000000005E-2</v>
      </c>
      <c r="F12" s="1">
        <v>8.4000000000000005E-2</v>
      </c>
      <c r="G12" s="1">
        <v>8.4000000000000005E-2</v>
      </c>
      <c r="H12" s="1">
        <v>8.4000000000000005E-2</v>
      </c>
      <c r="I12" s="1">
        <v>8.4000000000000005E-2</v>
      </c>
      <c r="J12" t="s">
        <v>40</v>
      </c>
      <c r="K12" t="s">
        <v>41</v>
      </c>
    </row>
    <row r="13" spans="1:11" x14ac:dyDescent="0.2">
      <c r="A13" t="s">
        <v>19</v>
      </c>
      <c r="B13" s="1">
        <v>0.2</v>
      </c>
      <c r="C13" s="1">
        <v>0.2</v>
      </c>
      <c r="D13" s="1">
        <v>0.2</v>
      </c>
      <c r="E13" s="1">
        <v>0.2</v>
      </c>
      <c r="F13" s="1">
        <v>0.2</v>
      </c>
      <c r="G13" s="1">
        <v>0.2</v>
      </c>
      <c r="H13" s="1">
        <v>0.2</v>
      </c>
      <c r="I13" s="1">
        <v>0.2</v>
      </c>
      <c r="J13" t="s">
        <v>48</v>
      </c>
      <c r="K13" t="s">
        <v>41</v>
      </c>
    </row>
    <row r="14" spans="1:11" x14ac:dyDescent="0.2">
      <c r="A14" s="3" t="s">
        <v>64</v>
      </c>
    </row>
    <row r="15" spans="1:11" x14ac:dyDescent="0.2">
      <c r="A15" t="s">
        <v>57</v>
      </c>
      <c r="B15" s="4">
        <v>80</v>
      </c>
      <c r="C15" s="4">
        <v>80</v>
      </c>
      <c r="D15" s="4">
        <v>80</v>
      </c>
      <c r="E15" s="4">
        <v>80</v>
      </c>
      <c r="F15" s="4">
        <v>80</v>
      </c>
      <c r="G15" s="4">
        <v>80</v>
      </c>
      <c r="H15" s="4">
        <v>80</v>
      </c>
      <c r="I15" s="4">
        <v>80</v>
      </c>
      <c r="J15" t="s">
        <v>58</v>
      </c>
      <c r="K15" t="s">
        <v>59</v>
      </c>
    </row>
    <row r="16" spans="1:11" x14ac:dyDescent="0.2">
      <c r="A16" t="s">
        <v>60</v>
      </c>
      <c r="B16" s="2">
        <v>2.5</v>
      </c>
      <c r="C16" s="2">
        <v>2.5</v>
      </c>
      <c r="D16" s="2">
        <v>2.5</v>
      </c>
      <c r="E16" s="2">
        <v>2.5</v>
      </c>
      <c r="F16" s="2">
        <v>2.5</v>
      </c>
      <c r="G16" s="2">
        <v>2.5</v>
      </c>
      <c r="H16" s="2">
        <v>2.5</v>
      </c>
      <c r="I16" s="2">
        <v>2.5</v>
      </c>
      <c r="K16" t="s">
        <v>61</v>
      </c>
    </row>
    <row r="17" spans="1:13" x14ac:dyDescent="0.2">
      <c r="A17" t="s">
        <v>62</v>
      </c>
      <c r="B17" s="2">
        <v>1.65</v>
      </c>
      <c r="C17" s="2">
        <v>1.65</v>
      </c>
      <c r="D17" s="2">
        <v>1.65</v>
      </c>
      <c r="E17" s="2">
        <v>1.65</v>
      </c>
      <c r="F17" s="2">
        <v>1.65</v>
      </c>
      <c r="G17" s="2">
        <v>1.65</v>
      </c>
      <c r="H17" s="2">
        <v>1.65</v>
      </c>
      <c r="I17" s="2">
        <v>1.65</v>
      </c>
      <c r="K17" t="s">
        <v>63</v>
      </c>
    </row>
    <row r="18" spans="1:13" x14ac:dyDescent="0.2">
      <c r="A18" s="3" t="s">
        <v>23</v>
      </c>
      <c r="B18" s="3"/>
      <c r="C18" s="3"/>
      <c r="D18" s="3"/>
    </row>
    <row r="19" spans="1:13" x14ac:dyDescent="0.2">
      <c r="A19" t="s">
        <v>12</v>
      </c>
      <c r="B19" t="s">
        <v>126</v>
      </c>
      <c r="C19" t="s">
        <v>127</v>
      </c>
      <c r="D19" t="s">
        <v>125</v>
      </c>
      <c r="E19" t="s">
        <v>77</v>
      </c>
      <c r="F19" t="s">
        <v>72</v>
      </c>
      <c r="G19" t="s">
        <v>74</v>
      </c>
      <c r="H19" t="s">
        <v>73</v>
      </c>
      <c r="I19" t="s">
        <v>13</v>
      </c>
    </row>
    <row r="20" spans="1:13" x14ac:dyDescent="0.2">
      <c r="A20" t="s">
        <v>14</v>
      </c>
      <c r="B20" s="1">
        <v>2.51E-5</v>
      </c>
      <c r="C20" s="1">
        <f>0.0000299</f>
        <v>2.9899999999999998E-5</v>
      </c>
      <c r="D20" s="1">
        <v>4.3300000000000002E-5</v>
      </c>
      <c r="E20" s="1">
        <v>6.19E-5</v>
      </c>
      <c r="F20" s="1">
        <v>6.2600000000000004E-5</v>
      </c>
      <c r="G20" s="1">
        <v>1.21E-4</v>
      </c>
      <c r="H20" s="1">
        <v>1.2E-4</v>
      </c>
      <c r="I20" s="1">
        <v>1.6699999999999999E-4</v>
      </c>
      <c r="J20" t="s">
        <v>24</v>
      </c>
    </row>
    <row r="21" spans="1:13" x14ac:dyDescent="0.2">
      <c r="A21" t="s">
        <v>15</v>
      </c>
      <c r="B21" s="1">
        <f>0.0198</f>
        <v>1.9800000000000002E-2</v>
      </c>
      <c r="C21" s="1">
        <f>0.021</f>
        <v>2.1000000000000001E-2</v>
      </c>
      <c r="D21" s="1">
        <v>2.58E-2</v>
      </c>
      <c r="E21" s="1">
        <v>3.7600000000000001E-2</v>
      </c>
      <c r="F21" s="1">
        <v>4.5699999999999998E-2</v>
      </c>
      <c r="G21" s="1">
        <v>4.4999999999999998E-2</v>
      </c>
      <c r="H21" s="1">
        <v>5.4300000000000001E-2</v>
      </c>
      <c r="I21" s="1">
        <v>7.4700000000000003E-2</v>
      </c>
      <c r="J21" t="s">
        <v>25</v>
      </c>
    </row>
    <row r="22" spans="1:13" x14ac:dyDescent="0.2">
      <c r="A22" t="s">
        <v>16</v>
      </c>
      <c r="B22" s="1">
        <f>0.000000495</f>
        <v>4.9500000000000003E-7</v>
      </c>
      <c r="C22" s="1">
        <f>0.000000628</f>
        <v>6.2799999999999996E-7</v>
      </c>
      <c r="D22" s="1">
        <v>1.1200000000000001E-6</v>
      </c>
      <c r="E22" s="1">
        <v>2.3300000000000001E-6</v>
      </c>
      <c r="F22" s="1">
        <v>2.8499999999999998E-6</v>
      </c>
      <c r="G22" s="1">
        <v>5.4700000000000001E-6</v>
      </c>
      <c r="H22" s="1">
        <v>5.8200000000000002E-6</v>
      </c>
      <c r="I22" s="1">
        <v>1.2500000000000001E-5</v>
      </c>
      <c r="J22" t="s">
        <v>26</v>
      </c>
    </row>
    <row r="23" spans="1:13" x14ac:dyDescent="0.2">
      <c r="A23" t="s">
        <v>17</v>
      </c>
      <c r="B23" s="2">
        <v>9.5</v>
      </c>
      <c r="C23" s="2">
        <v>11.8</v>
      </c>
      <c r="D23" s="2">
        <v>13.4</v>
      </c>
      <c r="E23" s="2">
        <v>18</v>
      </c>
      <c r="F23" s="2">
        <v>18</v>
      </c>
      <c r="G23" s="2">
        <v>22</v>
      </c>
      <c r="H23" s="2">
        <v>22.5</v>
      </c>
      <c r="I23" s="2">
        <v>27.5</v>
      </c>
      <c r="J23" t="s">
        <v>27</v>
      </c>
      <c r="M23" s="2"/>
    </row>
    <row r="24" spans="1:13" x14ac:dyDescent="0.2">
      <c r="A24" t="s">
        <v>18</v>
      </c>
      <c r="B24" s="2">
        <v>6</v>
      </c>
      <c r="C24" s="2">
        <v>5.9</v>
      </c>
      <c r="D24" s="2">
        <v>7.6</v>
      </c>
      <c r="E24" s="2">
        <v>8.8000000000000007</v>
      </c>
      <c r="F24" s="2">
        <v>8.8000000000000007</v>
      </c>
      <c r="G24" s="2">
        <v>12</v>
      </c>
      <c r="H24" s="2">
        <v>12</v>
      </c>
      <c r="I24" s="2">
        <v>13.5</v>
      </c>
      <c r="J24" t="s">
        <v>27</v>
      </c>
      <c r="M24" s="2"/>
    </row>
    <row r="25" spans="1:13" x14ac:dyDescent="0.2">
      <c r="A25" t="s">
        <v>5</v>
      </c>
      <c r="B25" s="2">
        <v>5.6</v>
      </c>
      <c r="C25" s="2">
        <v>5.6</v>
      </c>
      <c r="D25" s="2">
        <v>7.2</v>
      </c>
      <c r="E25" s="2">
        <v>10.3</v>
      </c>
      <c r="F25" s="2">
        <v>14</v>
      </c>
      <c r="G25" s="2">
        <v>11.5</v>
      </c>
      <c r="H25" s="2">
        <v>16.100000000000001</v>
      </c>
      <c r="I25" s="2">
        <v>21.3</v>
      </c>
      <c r="J25" t="s">
        <v>27</v>
      </c>
      <c r="M25" s="2"/>
    </row>
    <row r="26" spans="1:13" x14ac:dyDescent="0.2">
      <c r="A26" t="s">
        <v>19</v>
      </c>
      <c r="B26" s="1">
        <f t="shared" ref="B26:I26" si="3">0.000001*B25*(B23-B24)/2</f>
        <v>9.7999999999999993E-6</v>
      </c>
      <c r="C26" s="1">
        <f t="shared" si="3"/>
        <v>1.6520000000000001E-5</v>
      </c>
      <c r="D26" s="1">
        <f t="shared" si="3"/>
        <v>2.088E-5</v>
      </c>
      <c r="E26" s="1">
        <f t="shared" si="3"/>
        <v>4.7379999999999997E-5</v>
      </c>
      <c r="F26" s="1">
        <f t="shared" si="3"/>
        <v>6.4399999999999993E-5</v>
      </c>
      <c r="G26" s="1">
        <f t="shared" si="3"/>
        <v>5.7500000000000002E-5</v>
      </c>
      <c r="H26" s="1">
        <f t="shared" si="3"/>
        <v>8.4525000000000008E-5</v>
      </c>
      <c r="I26" s="1">
        <f t="shared" si="3"/>
        <v>1.4909999999999999E-4</v>
      </c>
      <c r="J26" t="s">
        <v>24</v>
      </c>
    </row>
    <row r="27" spans="1:13" x14ac:dyDescent="0.2">
      <c r="A27" t="s">
        <v>20</v>
      </c>
      <c r="B27" s="4">
        <f t="shared" ref="B27:I27" si="4">2*$F$10*(B23+B24)/4</f>
        <v>24.347343065320896</v>
      </c>
      <c r="C27" s="4">
        <f t="shared" si="4"/>
        <v>27.803094984269674</v>
      </c>
      <c r="D27" s="4">
        <f t="shared" si="4"/>
        <v>32.986722862692829</v>
      </c>
      <c r="E27" s="4">
        <f t="shared" si="4"/>
        <v>42.097341558103231</v>
      </c>
      <c r="F27" s="4">
        <f t="shared" si="4"/>
        <v>42.097341558103231</v>
      </c>
      <c r="G27" s="4">
        <f t="shared" si="4"/>
        <v>53.407075111026487</v>
      </c>
      <c r="H27" s="4">
        <f t="shared" si="4"/>
        <v>54.192473274423932</v>
      </c>
      <c r="I27" s="4">
        <f t="shared" si="4"/>
        <v>64.402649398590754</v>
      </c>
      <c r="J27" t="s">
        <v>27</v>
      </c>
    </row>
    <row r="28" spans="1:13" x14ac:dyDescent="0.2">
      <c r="A28" s="3" t="s">
        <v>28</v>
      </c>
      <c r="B28" s="3"/>
      <c r="C28" s="3"/>
      <c r="D28" s="3"/>
    </row>
    <row r="29" spans="1:13" x14ac:dyDescent="0.2">
      <c r="A29" t="s">
        <v>29</v>
      </c>
      <c r="B29" s="4">
        <f t="shared" ref="B29:I29" si="5">ROUND(B3*B4/(B8*B20),1)</f>
        <v>17.5</v>
      </c>
      <c r="C29" s="4">
        <f t="shared" si="5"/>
        <v>14.7</v>
      </c>
      <c r="D29" s="4">
        <f t="shared" si="5"/>
        <v>12.1</v>
      </c>
      <c r="E29" s="4">
        <f t="shared" si="5"/>
        <v>13.2</v>
      </c>
      <c r="F29" s="4">
        <f t="shared" si="5"/>
        <v>14.6</v>
      </c>
      <c r="G29" s="4">
        <f t="shared" si="5"/>
        <v>10.7</v>
      </c>
      <c r="H29" s="4">
        <f t="shared" si="5"/>
        <v>12.2</v>
      </c>
      <c r="I29" s="4">
        <f t="shared" si="5"/>
        <v>13.2</v>
      </c>
      <c r="J29" t="s">
        <v>30</v>
      </c>
      <c r="K29" t="s">
        <v>32</v>
      </c>
    </row>
    <row r="30" spans="1:13" x14ac:dyDescent="0.2">
      <c r="A30" t="s">
        <v>31</v>
      </c>
      <c r="B30" s="2">
        <f t="shared" ref="B30:I30" si="6">1000*(B29^2)*B11*B20/B3</f>
        <v>0.43907290238636359</v>
      </c>
      <c r="C30" s="2">
        <f t="shared" si="6"/>
        <v>0.36905634317618169</v>
      </c>
      <c r="D30" s="2">
        <f t="shared" si="6"/>
        <v>0.36211411471399996</v>
      </c>
      <c r="E30" s="2">
        <f t="shared" si="6"/>
        <v>0.61606328572799984</v>
      </c>
      <c r="F30" s="2">
        <f t="shared" si="6"/>
        <v>0.76219634377163636</v>
      </c>
      <c r="G30" s="2">
        <f t="shared" si="6"/>
        <v>0.79129740601999987</v>
      </c>
      <c r="H30" s="2">
        <f t="shared" si="6"/>
        <v>1.0202056485818178</v>
      </c>
      <c r="I30" s="2">
        <f t="shared" si="6"/>
        <v>1.6620770390399995</v>
      </c>
      <c r="J30" t="s">
        <v>27</v>
      </c>
      <c r="K30" t="s">
        <v>33</v>
      </c>
    </row>
    <row r="31" spans="1:13" x14ac:dyDescent="0.2">
      <c r="A31" s="3" t="s">
        <v>34</v>
      </c>
    </row>
    <row r="32" spans="1:13" x14ac:dyDescent="0.2">
      <c r="A32" t="s">
        <v>43</v>
      </c>
      <c r="B32" s="2">
        <f t="shared" ref="B32:I32" si="7">B29*B27*0.001</f>
        <v>0.42607850364311567</v>
      </c>
      <c r="C32" s="2">
        <f t="shared" si="7"/>
        <v>0.40870549626876418</v>
      </c>
      <c r="D32" s="2">
        <f t="shared" si="7"/>
        <v>0.39913934663858325</v>
      </c>
      <c r="E32" s="2">
        <f t="shared" si="7"/>
        <v>0.55568490856696262</v>
      </c>
      <c r="F32" s="2">
        <f t="shared" si="7"/>
        <v>0.61462118674830724</v>
      </c>
      <c r="G32" s="2">
        <f t="shared" si="7"/>
        <v>0.57145570368798337</v>
      </c>
      <c r="H32" s="2">
        <f t="shared" si="7"/>
        <v>0.66114817394797198</v>
      </c>
      <c r="I32" s="2">
        <f t="shared" si="7"/>
        <v>0.85011497206139797</v>
      </c>
      <c r="J32" t="s">
        <v>25</v>
      </c>
      <c r="K32" t="s">
        <v>38</v>
      </c>
    </row>
    <row r="33" spans="1:14" x14ac:dyDescent="0.2">
      <c r="A33" t="s">
        <v>44</v>
      </c>
      <c r="B33" s="2">
        <f t="shared" ref="B33:I33" si="8">B32*B12</f>
        <v>3.5790594306021717E-2</v>
      </c>
      <c r="C33" s="2">
        <f t="shared" si="8"/>
        <v>3.4331261686576194E-2</v>
      </c>
      <c r="D33" s="2">
        <f t="shared" si="8"/>
        <v>3.3527705117640992E-2</v>
      </c>
      <c r="E33" s="2">
        <f t="shared" si="8"/>
        <v>4.6677532319624862E-2</v>
      </c>
      <c r="F33" s="2">
        <f t="shared" si="8"/>
        <v>5.162817968685781E-2</v>
      </c>
      <c r="G33" s="2">
        <f t="shared" si="8"/>
        <v>4.8002279109790609E-2</v>
      </c>
      <c r="H33" s="2">
        <f t="shared" si="8"/>
        <v>5.5536446611629653E-2</v>
      </c>
      <c r="I33" s="2">
        <f t="shared" si="8"/>
        <v>7.1409657653157432E-2</v>
      </c>
      <c r="J33" t="s">
        <v>36</v>
      </c>
      <c r="K33" t="s">
        <v>42</v>
      </c>
    </row>
    <row r="34" spans="1:14" x14ac:dyDescent="0.2">
      <c r="A34" t="s">
        <v>75</v>
      </c>
      <c r="B34" s="1">
        <f t="shared" ref="B34:I34" si="9">B29*B13*0.000001</f>
        <v>3.4999999999999999E-6</v>
      </c>
      <c r="C34" s="1">
        <f t="shared" si="9"/>
        <v>2.9399999999999998E-6</v>
      </c>
      <c r="D34" s="1">
        <f t="shared" si="9"/>
        <v>2.4199999999999997E-6</v>
      </c>
      <c r="E34" s="1">
        <f t="shared" si="9"/>
        <v>2.6400000000000001E-6</v>
      </c>
      <c r="F34" s="1">
        <f t="shared" si="9"/>
        <v>2.92E-6</v>
      </c>
      <c r="G34" s="1">
        <f t="shared" si="9"/>
        <v>2.1399999999999998E-6</v>
      </c>
      <c r="H34" s="1">
        <f t="shared" si="9"/>
        <v>2.4399999999999999E-6</v>
      </c>
      <c r="I34" s="1">
        <f t="shared" si="9"/>
        <v>2.6400000000000001E-6</v>
      </c>
    </row>
    <row r="35" spans="1:14" x14ac:dyDescent="0.2">
      <c r="A35" t="s">
        <v>54</v>
      </c>
      <c r="B35" s="2">
        <v>0.7</v>
      </c>
      <c r="C35" s="2">
        <v>0.7</v>
      </c>
      <c r="D35" s="2">
        <v>0.7</v>
      </c>
      <c r="E35" s="2">
        <v>0.7</v>
      </c>
      <c r="F35" s="2">
        <v>0.7</v>
      </c>
      <c r="G35" s="2">
        <v>0.7</v>
      </c>
      <c r="H35" s="2">
        <v>0.7</v>
      </c>
      <c r="I35" s="2">
        <v>0.7</v>
      </c>
      <c r="K35" t="s">
        <v>55</v>
      </c>
    </row>
    <row r="36" spans="1:14" x14ac:dyDescent="0.2">
      <c r="A36" t="s">
        <v>45</v>
      </c>
      <c r="B36">
        <f t="shared" ref="B36:I36" si="10">FLOOR(B26*B35/B34,1)</f>
        <v>1</v>
      </c>
      <c r="C36">
        <f t="shared" si="10"/>
        <v>3</v>
      </c>
      <c r="D36">
        <f t="shared" si="10"/>
        <v>6</v>
      </c>
      <c r="E36">
        <f t="shared" si="10"/>
        <v>12</v>
      </c>
      <c r="F36">
        <f t="shared" si="10"/>
        <v>15</v>
      </c>
      <c r="G36">
        <f t="shared" si="10"/>
        <v>18</v>
      </c>
      <c r="H36">
        <f t="shared" si="10"/>
        <v>24</v>
      </c>
      <c r="I36">
        <f t="shared" si="10"/>
        <v>39</v>
      </c>
      <c r="J36" t="s">
        <v>46</v>
      </c>
      <c r="K36" t="s">
        <v>47</v>
      </c>
    </row>
    <row r="37" spans="1:14" x14ac:dyDescent="0.2">
      <c r="A37" t="s">
        <v>52</v>
      </c>
      <c r="B37" s="1">
        <f t="shared" ref="B37:I37" si="11">B36*B29*B13*0.000001</f>
        <v>3.4999999999999999E-6</v>
      </c>
      <c r="C37" s="1">
        <f t="shared" si="11"/>
        <v>8.8199999999999986E-6</v>
      </c>
      <c r="D37" s="1">
        <f t="shared" si="11"/>
        <v>1.4519999999999998E-5</v>
      </c>
      <c r="E37" s="1">
        <f t="shared" si="11"/>
        <v>3.1679999999999995E-5</v>
      </c>
      <c r="F37" s="1">
        <f t="shared" si="11"/>
        <v>4.3800000000000001E-5</v>
      </c>
      <c r="G37" s="1">
        <f t="shared" si="11"/>
        <v>3.8520000000000004E-5</v>
      </c>
      <c r="H37" s="1">
        <f t="shared" si="11"/>
        <v>5.8559999999999995E-5</v>
      </c>
      <c r="I37" s="1">
        <f t="shared" si="11"/>
        <v>1.0295999999999999E-4</v>
      </c>
      <c r="J37" t="s">
        <v>24</v>
      </c>
      <c r="K37" t="s">
        <v>53</v>
      </c>
    </row>
    <row r="38" spans="1:14" x14ac:dyDescent="0.2">
      <c r="A38" t="s">
        <v>39</v>
      </c>
      <c r="B38" s="1">
        <f>B33/B36</f>
        <v>3.5790594306021717E-2</v>
      </c>
      <c r="C38" s="1">
        <f>C33/C36</f>
        <v>1.1443753895525398E-2</v>
      </c>
      <c r="D38" s="1">
        <f>D33/D36</f>
        <v>5.5879508529401651E-3</v>
      </c>
      <c r="E38" s="1">
        <f>E33/E36</f>
        <v>3.8897943599687386E-3</v>
      </c>
      <c r="F38" s="1">
        <f>F33/F36</f>
        <v>3.4418786457905207E-3</v>
      </c>
      <c r="G38" s="1">
        <f t="shared" ref="G38:I38" si="12">G33/G36</f>
        <v>2.6667932838772561E-3</v>
      </c>
      <c r="H38" s="1">
        <f t="shared" si="12"/>
        <v>2.3140186088179021E-3</v>
      </c>
      <c r="I38" s="1">
        <f t="shared" si="12"/>
        <v>1.8310168629014727E-3</v>
      </c>
      <c r="J38" t="s">
        <v>36</v>
      </c>
      <c r="K38" t="s">
        <v>68</v>
      </c>
    </row>
    <row r="39" spans="1:14" x14ac:dyDescent="0.2">
      <c r="A39" t="s">
        <v>67</v>
      </c>
      <c r="B39" s="2">
        <f t="shared" ref="B39:I39" si="13">(B4^2)*B38</f>
        <v>3.5790594306021717</v>
      </c>
      <c r="C39" s="2">
        <f t="shared" si="13"/>
        <v>1.1443753895525397</v>
      </c>
      <c r="D39" s="2">
        <f t="shared" si="13"/>
        <v>0.55879508529401656</v>
      </c>
      <c r="E39" s="2">
        <f t="shared" si="13"/>
        <v>0.38897943599687385</v>
      </c>
      <c r="F39" s="2">
        <f t="shared" si="13"/>
        <v>0.34418786457905204</v>
      </c>
      <c r="G39" s="2">
        <f t="shared" si="13"/>
        <v>0.26667932838772562</v>
      </c>
      <c r="H39" s="2">
        <f t="shared" si="13"/>
        <v>0.23140186088179021</v>
      </c>
      <c r="I39" s="2">
        <f t="shared" si="13"/>
        <v>0.18310168629014728</v>
      </c>
      <c r="J39" t="s">
        <v>65</v>
      </c>
      <c r="K39" t="s">
        <v>69</v>
      </c>
    </row>
    <row r="40" spans="1:14" x14ac:dyDescent="0.2">
      <c r="A40" s="3" t="s">
        <v>56</v>
      </c>
    </row>
    <row r="41" spans="1:14" x14ac:dyDescent="0.2">
      <c r="A41" t="s">
        <v>57</v>
      </c>
      <c r="B41" s="2">
        <f t="shared" ref="B41:I41" si="14">1000*B22*B15*(B7/0.1)^B16*(B5/100000)^B17</f>
        <v>1.2281310188246164</v>
      </c>
      <c r="C41" s="2">
        <f t="shared" si="14"/>
        <v>1.5581136966098166</v>
      </c>
      <c r="D41" s="2">
        <f t="shared" si="14"/>
        <v>1.7970317046512678</v>
      </c>
      <c r="E41" s="2">
        <f t="shared" si="14"/>
        <v>1.238739031731227</v>
      </c>
      <c r="F41" s="2">
        <f t="shared" si="14"/>
        <v>1.1287232084570036</v>
      </c>
      <c r="G41" s="2">
        <f t="shared" si="14"/>
        <v>0.91479571246925495</v>
      </c>
      <c r="H41" s="2">
        <f t="shared" si="14"/>
        <v>0.71181252076863566</v>
      </c>
      <c r="I41" s="2">
        <f t="shared" si="14"/>
        <v>0.55478473603392253</v>
      </c>
      <c r="J41" t="s">
        <v>65</v>
      </c>
      <c r="K41" t="s">
        <v>66</v>
      </c>
    </row>
    <row r="42" spans="1:14" x14ac:dyDescent="0.2">
      <c r="A42" t="s">
        <v>70</v>
      </c>
      <c r="B42" s="2">
        <f t="shared" ref="B42:I42" si="15">B41+B39</f>
        <v>4.8071904494267876</v>
      </c>
      <c r="C42" s="2">
        <f t="shared" si="15"/>
        <v>2.7024890861623563</v>
      </c>
      <c r="D42" s="2">
        <f t="shared" si="15"/>
        <v>2.3558267899452843</v>
      </c>
      <c r="E42" s="2">
        <f t="shared" si="15"/>
        <v>1.6277184677281009</v>
      </c>
      <c r="F42" s="2">
        <f t="shared" si="15"/>
        <v>1.4729110730360557</v>
      </c>
      <c r="G42" s="2">
        <f t="shared" si="15"/>
        <v>1.1814750408569805</v>
      </c>
      <c r="H42" s="2">
        <f t="shared" si="15"/>
        <v>0.94321438165042593</v>
      </c>
      <c r="I42" s="2">
        <f t="shared" si="15"/>
        <v>0.73788642232406976</v>
      </c>
      <c r="J42" t="s">
        <v>65</v>
      </c>
      <c r="K42" t="s">
        <v>71</v>
      </c>
      <c r="N42">
        <f>SUMSQ(F42:I42)</f>
        <v>4.9994800432426389</v>
      </c>
    </row>
  </sheetData>
  <pageMargins left="0.75" right="0.75" top="1" bottom="1" header="0.5" footer="0.5"/>
  <pageSetup orientation="portrait" horizontalDpi="4294967292" verticalDpi="429496729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workbookViewId="0">
      <selection activeCell="N43" sqref="N43"/>
    </sheetView>
  </sheetViews>
  <sheetFormatPr baseColWidth="10" defaultRowHeight="16" x14ac:dyDescent="0.2"/>
  <cols>
    <col min="10" max="10" width="8.33203125" bestFit="1" customWidth="1"/>
    <col min="11" max="11" width="25.83203125" bestFit="1" customWidth="1"/>
  </cols>
  <sheetData>
    <row r="1" spans="1:11" x14ac:dyDescent="0.2">
      <c r="A1" s="3" t="s">
        <v>0</v>
      </c>
      <c r="B1" s="3"/>
      <c r="C1" s="3"/>
      <c r="D1" s="3"/>
    </row>
    <row r="2" spans="1:11" x14ac:dyDescent="0.2">
      <c r="A2" s="3" t="s">
        <v>21</v>
      </c>
      <c r="B2" s="3"/>
      <c r="C2" s="3"/>
      <c r="D2" s="3"/>
    </row>
    <row r="3" spans="1:11" x14ac:dyDescent="0.2">
      <c r="A3" t="s">
        <v>1</v>
      </c>
      <c r="B3" s="1">
        <v>1.1E-5</v>
      </c>
      <c r="C3" s="1">
        <v>1.1E-5</v>
      </c>
      <c r="D3" s="1">
        <v>1.1E-5</v>
      </c>
      <c r="E3" s="1">
        <v>1.1E-5</v>
      </c>
      <c r="F3" s="1">
        <v>1.1E-5</v>
      </c>
      <c r="G3" s="1">
        <v>1.1E-5</v>
      </c>
      <c r="H3" s="1">
        <v>1.1E-5</v>
      </c>
      <c r="I3" s="1">
        <v>1.1E-5</v>
      </c>
      <c r="J3" t="s">
        <v>5</v>
      </c>
      <c r="K3" t="s">
        <v>2</v>
      </c>
    </row>
    <row r="4" spans="1:11" x14ac:dyDescent="0.2">
      <c r="A4" t="s">
        <v>3</v>
      </c>
      <c r="B4">
        <v>10</v>
      </c>
      <c r="C4">
        <v>10</v>
      </c>
      <c r="D4">
        <v>10</v>
      </c>
      <c r="E4">
        <v>10</v>
      </c>
      <c r="F4">
        <v>10</v>
      </c>
      <c r="G4">
        <v>10</v>
      </c>
      <c r="H4">
        <v>10</v>
      </c>
      <c r="I4">
        <v>10</v>
      </c>
      <c r="J4" t="s">
        <v>4</v>
      </c>
      <c r="K4" t="s">
        <v>6</v>
      </c>
    </row>
    <row r="5" spans="1:11" x14ac:dyDescent="0.2">
      <c r="A5" t="s">
        <v>49</v>
      </c>
      <c r="B5" s="1">
        <v>200000</v>
      </c>
      <c r="C5" s="1">
        <v>200000</v>
      </c>
      <c r="D5" s="1">
        <v>200000</v>
      </c>
      <c r="E5" s="1">
        <v>200000</v>
      </c>
      <c r="F5" s="1">
        <v>200000</v>
      </c>
      <c r="G5" s="1">
        <v>200000</v>
      </c>
      <c r="H5" s="1">
        <v>200000</v>
      </c>
      <c r="I5" s="1">
        <v>200000</v>
      </c>
      <c r="J5" t="s">
        <v>50</v>
      </c>
      <c r="K5" t="s">
        <v>51</v>
      </c>
    </row>
    <row r="6" spans="1:11" x14ac:dyDescent="0.2">
      <c r="A6" s="3" t="s">
        <v>76</v>
      </c>
      <c r="B6" s="1"/>
      <c r="C6" s="1"/>
      <c r="D6" s="1"/>
      <c r="E6" s="1"/>
      <c r="F6" s="1"/>
      <c r="G6" s="1"/>
      <c r="H6" s="1"/>
      <c r="I6" s="1"/>
    </row>
    <row r="7" spans="1:11" x14ac:dyDescent="0.2">
      <c r="A7" t="s">
        <v>123</v>
      </c>
      <c r="B7" s="2">
        <v>0.19137424144499771</v>
      </c>
      <c r="C7" s="2">
        <v>0.1801572777547272</v>
      </c>
      <c r="D7" s="2">
        <v>0.13700696550598568</v>
      </c>
      <c r="E7" s="2">
        <v>0.11167669408139384</v>
      </c>
      <c r="F7" s="2">
        <v>0.10222431735047091</v>
      </c>
      <c r="G7" s="2">
        <v>7.6224990031131049E-2</v>
      </c>
      <c r="H7" s="2">
        <v>6.9866138247552764E-2</v>
      </c>
      <c r="I7" s="2">
        <v>4.857085559065219E-2</v>
      </c>
      <c r="J7" t="s">
        <v>8</v>
      </c>
      <c r="K7" t="s">
        <v>124</v>
      </c>
    </row>
    <row r="8" spans="1:11" x14ac:dyDescent="0.2">
      <c r="A8" t="s">
        <v>7</v>
      </c>
      <c r="B8" s="2">
        <f>2*B7</f>
        <v>0.38274848288999541</v>
      </c>
      <c r="C8" s="2">
        <f>2*C7</f>
        <v>0.3603145555094544</v>
      </c>
      <c r="D8" s="2">
        <f>2*D7</f>
        <v>0.27401393101197136</v>
      </c>
      <c r="E8" s="2">
        <f>2*E7</f>
        <v>0.22335338816278769</v>
      </c>
      <c r="F8" s="2">
        <f t="shared" ref="F8:I8" si="0">2*F7</f>
        <v>0.20444863470094182</v>
      </c>
      <c r="G8" s="2">
        <f t="shared" si="0"/>
        <v>0.1524499800622621</v>
      </c>
      <c r="H8" s="2">
        <f t="shared" si="0"/>
        <v>0.13973227649510553</v>
      </c>
      <c r="I8" s="2">
        <f t="shared" si="0"/>
        <v>9.714171118130438E-2</v>
      </c>
      <c r="J8" t="s">
        <v>8</v>
      </c>
      <c r="K8" t="s">
        <v>9</v>
      </c>
    </row>
    <row r="9" spans="1:11" x14ac:dyDescent="0.2">
      <c r="A9" s="3" t="s">
        <v>22</v>
      </c>
      <c r="B9" s="2"/>
      <c r="C9" s="2"/>
      <c r="D9" s="2"/>
      <c r="E9" s="2"/>
      <c r="F9" s="2"/>
      <c r="G9" s="2"/>
      <c r="H9" s="2"/>
      <c r="I9" s="2"/>
    </row>
    <row r="10" spans="1:11" x14ac:dyDescent="0.2">
      <c r="A10" t="s">
        <v>10</v>
      </c>
      <c r="B10" s="2">
        <f t="shared" ref="B10:I10" si="1">4*ATAN(1)</f>
        <v>3.1415926535897931</v>
      </c>
      <c r="C10" s="2">
        <f t="shared" si="1"/>
        <v>3.1415926535897931</v>
      </c>
      <c r="D10" s="2">
        <f t="shared" si="1"/>
        <v>3.1415926535897931</v>
      </c>
      <c r="E10" s="2">
        <f t="shared" si="1"/>
        <v>3.1415926535897931</v>
      </c>
      <c r="F10" s="2">
        <f t="shared" si="1"/>
        <v>3.1415926535897931</v>
      </c>
      <c r="G10" s="2">
        <f t="shared" si="1"/>
        <v>3.1415926535897931</v>
      </c>
      <c r="H10" s="2">
        <f t="shared" si="1"/>
        <v>3.1415926535897931</v>
      </c>
      <c r="I10" s="2">
        <f t="shared" si="1"/>
        <v>3.1415926535897931</v>
      </c>
    </row>
    <row r="11" spans="1:11" x14ac:dyDescent="0.2">
      <c r="A11" t="s">
        <v>11</v>
      </c>
      <c r="B11" s="1">
        <f t="shared" ref="B11:I11" si="2">4*3.14159*0.0000001</f>
        <v>1.2566359999999999E-6</v>
      </c>
      <c r="C11" s="1">
        <f t="shared" si="2"/>
        <v>1.2566359999999999E-6</v>
      </c>
      <c r="D11" s="1">
        <f t="shared" si="2"/>
        <v>1.2566359999999999E-6</v>
      </c>
      <c r="E11" s="1">
        <f t="shared" si="2"/>
        <v>1.2566359999999999E-6</v>
      </c>
      <c r="F11" s="1">
        <f t="shared" si="2"/>
        <v>1.2566359999999999E-6</v>
      </c>
      <c r="G11" s="1">
        <f t="shared" si="2"/>
        <v>1.2566359999999999E-6</v>
      </c>
      <c r="H11" s="1">
        <f t="shared" si="2"/>
        <v>1.2566359999999999E-6</v>
      </c>
      <c r="I11" s="1">
        <f t="shared" si="2"/>
        <v>1.2566359999999999E-6</v>
      </c>
    </row>
    <row r="12" spans="1:11" x14ac:dyDescent="0.2">
      <c r="A12" t="s">
        <v>39</v>
      </c>
      <c r="B12" s="1">
        <v>8.4000000000000005E-2</v>
      </c>
      <c r="C12" s="1">
        <v>8.4000000000000005E-2</v>
      </c>
      <c r="D12" s="1">
        <v>8.4000000000000005E-2</v>
      </c>
      <c r="E12" s="1">
        <v>8.4000000000000005E-2</v>
      </c>
      <c r="F12" s="1">
        <v>8.4000000000000005E-2</v>
      </c>
      <c r="G12" s="1">
        <v>8.4000000000000005E-2</v>
      </c>
      <c r="H12" s="1">
        <v>8.4000000000000005E-2</v>
      </c>
      <c r="I12" s="1">
        <v>8.4000000000000005E-2</v>
      </c>
      <c r="J12" t="s">
        <v>40</v>
      </c>
      <c r="K12" t="s">
        <v>41</v>
      </c>
    </row>
    <row r="13" spans="1:11" x14ac:dyDescent="0.2">
      <c r="A13" t="s">
        <v>19</v>
      </c>
      <c r="B13" s="1">
        <v>0.2</v>
      </c>
      <c r="C13" s="1">
        <v>0.2</v>
      </c>
      <c r="D13" s="1">
        <v>0.2</v>
      </c>
      <c r="E13" s="1">
        <v>0.2</v>
      </c>
      <c r="F13" s="1">
        <v>0.2</v>
      </c>
      <c r="G13" s="1">
        <v>0.2</v>
      </c>
      <c r="H13" s="1">
        <v>0.2</v>
      </c>
      <c r="I13" s="1">
        <v>0.2</v>
      </c>
      <c r="J13" t="s">
        <v>48</v>
      </c>
      <c r="K13" t="s">
        <v>41</v>
      </c>
    </row>
    <row r="14" spans="1:11" x14ac:dyDescent="0.2">
      <c r="A14" s="3" t="s">
        <v>64</v>
      </c>
    </row>
    <row r="15" spans="1:11" x14ac:dyDescent="0.2">
      <c r="A15" t="s">
        <v>57</v>
      </c>
      <c r="B15" s="4">
        <v>80</v>
      </c>
      <c r="C15" s="4">
        <v>80</v>
      </c>
      <c r="D15" s="4">
        <v>80</v>
      </c>
      <c r="E15" s="4">
        <v>80</v>
      </c>
      <c r="F15" s="4">
        <v>80</v>
      </c>
      <c r="G15" s="4">
        <v>80</v>
      </c>
      <c r="H15" s="4">
        <v>80</v>
      </c>
      <c r="I15" s="4">
        <v>80</v>
      </c>
      <c r="J15" t="s">
        <v>58</v>
      </c>
      <c r="K15" t="s">
        <v>59</v>
      </c>
    </row>
    <row r="16" spans="1:11" x14ac:dyDescent="0.2">
      <c r="A16" t="s">
        <v>60</v>
      </c>
      <c r="B16" s="2">
        <v>2.5</v>
      </c>
      <c r="C16" s="2">
        <v>2.5</v>
      </c>
      <c r="D16" s="2">
        <v>2.5</v>
      </c>
      <c r="E16" s="2">
        <v>2.5</v>
      </c>
      <c r="F16" s="2">
        <v>2.5</v>
      </c>
      <c r="G16" s="2">
        <v>2.5</v>
      </c>
      <c r="H16" s="2">
        <v>2.5</v>
      </c>
      <c r="I16" s="2">
        <v>2.5</v>
      </c>
      <c r="K16" t="s">
        <v>61</v>
      </c>
    </row>
    <row r="17" spans="1:13" x14ac:dyDescent="0.2">
      <c r="A17" t="s">
        <v>62</v>
      </c>
      <c r="B17" s="2">
        <v>1.65</v>
      </c>
      <c r="C17" s="2">
        <v>1.65</v>
      </c>
      <c r="D17" s="2">
        <v>1.65</v>
      </c>
      <c r="E17" s="2">
        <v>1.65</v>
      </c>
      <c r="F17" s="2">
        <v>1.65</v>
      </c>
      <c r="G17" s="2">
        <v>1.65</v>
      </c>
      <c r="H17" s="2">
        <v>1.65</v>
      </c>
      <c r="I17" s="2">
        <v>1.65</v>
      </c>
      <c r="K17" t="s">
        <v>63</v>
      </c>
    </row>
    <row r="18" spans="1:13" x14ac:dyDescent="0.2">
      <c r="A18" s="3" t="s">
        <v>23</v>
      </c>
      <c r="B18" s="3"/>
      <c r="C18" s="3"/>
      <c r="D18" s="3"/>
    </row>
    <row r="19" spans="1:13" x14ac:dyDescent="0.2">
      <c r="A19" t="s">
        <v>12</v>
      </c>
      <c r="B19" t="s">
        <v>126</v>
      </c>
      <c r="C19" t="s">
        <v>127</v>
      </c>
      <c r="D19" t="s">
        <v>125</v>
      </c>
      <c r="E19" t="s">
        <v>77</v>
      </c>
      <c r="F19" t="s">
        <v>72</v>
      </c>
      <c r="G19" t="s">
        <v>74</v>
      </c>
      <c r="H19" t="s">
        <v>73</v>
      </c>
      <c r="I19" t="s">
        <v>13</v>
      </c>
    </row>
    <row r="20" spans="1:13" x14ac:dyDescent="0.2">
      <c r="A20" t="s">
        <v>14</v>
      </c>
      <c r="B20" s="1">
        <v>2.51E-5</v>
      </c>
      <c r="C20" s="1">
        <f>0.0000299</f>
        <v>2.9899999999999998E-5</v>
      </c>
      <c r="D20" s="1">
        <v>4.3300000000000002E-5</v>
      </c>
      <c r="E20" s="1">
        <v>6.19E-5</v>
      </c>
      <c r="F20" s="1">
        <v>6.2600000000000004E-5</v>
      </c>
      <c r="G20" s="1">
        <v>1.21E-4</v>
      </c>
      <c r="H20" s="1">
        <v>1.2E-4</v>
      </c>
      <c r="I20" s="1">
        <v>1.6699999999999999E-4</v>
      </c>
      <c r="J20" t="s">
        <v>24</v>
      </c>
    </row>
    <row r="21" spans="1:13" x14ac:dyDescent="0.2">
      <c r="A21" t="s">
        <v>15</v>
      </c>
      <c r="B21" s="1">
        <f>0.0198</f>
        <v>1.9800000000000002E-2</v>
      </c>
      <c r="C21" s="1">
        <f>0.021</f>
        <v>2.1000000000000001E-2</v>
      </c>
      <c r="D21" s="1">
        <v>2.58E-2</v>
      </c>
      <c r="E21" s="1">
        <v>3.7600000000000001E-2</v>
      </c>
      <c r="F21" s="1">
        <v>4.5699999999999998E-2</v>
      </c>
      <c r="G21" s="1">
        <v>4.4999999999999998E-2</v>
      </c>
      <c r="H21" s="1">
        <v>5.4300000000000001E-2</v>
      </c>
      <c r="I21" s="1">
        <v>7.4700000000000003E-2</v>
      </c>
      <c r="J21" t="s">
        <v>25</v>
      </c>
    </row>
    <row r="22" spans="1:13" x14ac:dyDescent="0.2">
      <c r="A22" t="s">
        <v>16</v>
      </c>
      <c r="B22" s="1">
        <f>0.000000495</f>
        <v>4.9500000000000003E-7</v>
      </c>
      <c r="C22" s="1">
        <f>0.000000628</f>
        <v>6.2799999999999996E-7</v>
      </c>
      <c r="D22" s="1">
        <v>1.1200000000000001E-6</v>
      </c>
      <c r="E22" s="1">
        <v>2.3300000000000001E-6</v>
      </c>
      <c r="F22" s="1">
        <v>2.8499999999999998E-6</v>
      </c>
      <c r="G22" s="1">
        <v>5.4700000000000001E-6</v>
      </c>
      <c r="H22" s="1">
        <v>5.8200000000000002E-6</v>
      </c>
      <c r="I22" s="1">
        <v>1.2500000000000001E-5</v>
      </c>
      <c r="J22" t="s">
        <v>26</v>
      </c>
    </row>
    <row r="23" spans="1:13" x14ac:dyDescent="0.2">
      <c r="A23" t="s">
        <v>17</v>
      </c>
      <c r="B23" s="2">
        <v>9.5</v>
      </c>
      <c r="C23" s="2">
        <v>11.8</v>
      </c>
      <c r="D23" s="2">
        <v>13.4</v>
      </c>
      <c r="E23" s="2">
        <v>18</v>
      </c>
      <c r="F23" s="2">
        <v>18</v>
      </c>
      <c r="G23" s="2">
        <v>22</v>
      </c>
      <c r="H23" s="2">
        <v>22.5</v>
      </c>
      <c r="I23" s="2">
        <v>27.5</v>
      </c>
      <c r="J23" t="s">
        <v>27</v>
      </c>
      <c r="M23" s="2"/>
    </row>
    <row r="24" spans="1:13" x14ac:dyDescent="0.2">
      <c r="A24" t="s">
        <v>18</v>
      </c>
      <c r="B24" s="2">
        <v>6</v>
      </c>
      <c r="C24" s="2">
        <v>5.9</v>
      </c>
      <c r="D24" s="2">
        <v>7.6</v>
      </c>
      <c r="E24" s="2">
        <v>8.8000000000000007</v>
      </c>
      <c r="F24" s="2">
        <v>8.8000000000000007</v>
      </c>
      <c r="G24" s="2">
        <v>12</v>
      </c>
      <c r="H24" s="2">
        <v>12</v>
      </c>
      <c r="I24" s="2">
        <v>13.5</v>
      </c>
      <c r="J24" t="s">
        <v>27</v>
      </c>
      <c r="M24" s="2"/>
    </row>
    <row r="25" spans="1:13" x14ac:dyDescent="0.2">
      <c r="A25" t="s">
        <v>5</v>
      </c>
      <c r="B25" s="2">
        <v>5.6</v>
      </c>
      <c r="C25" s="2">
        <v>5.6</v>
      </c>
      <c r="D25" s="2">
        <v>7.2</v>
      </c>
      <c r="E25" s="2">
        <v>10.3</v>
      </c>
      <c r="F25" s="2">
        <v>14</v>
      </c>
      <c r="G25" s="2">
        <v>11.5</v>
      </c>
      <c r="H25" s="2">
        <v>16.100000000000001</v>
      </c>
      <c r="I25" s="2">
        <v>21.3</v>
      </c>
      <c r="J25" t="s">
        <v>27</v>
      </c>
      <c r="M25" s="2"/>
    </row>
    <row r="26" spans="1:13" x14ac:dyDescent="0.2">
      <c r="A26" t="s">
        <v>19</v>
      </c>
      <c r="B26" s="1">
        <f t="shared" ref="B26:I26" si="3">0.000001*B25*(B23-B24)/2</f>
        <v>9.7999999999999993E-6</v>
      </c>
      <c r="C26" s="1">
        <f t="shared" si="3"/>
        <v>1.6520000000000001E-5</v>
      </c>
      <c r="D26" s="1">
        <f t="shared" si="3"/>
        <v>2.088E-5</v>
      </c>
      <c r="E26" s="1">
        <f t="shared" si="3"/>
        <v>4.7379999999999997E-5</v>
      </c>
      <c r="F26" s="1">
        <f t="shared" si="3"/>
        <v>6.4399999999999993E-5</v>
      </c>
      <c r="G26" s="1">
        <f t="shared" si="3"/>
        <v>5.7500000000000002E-5</v>
      </c>
      <c r="H26" s="1">
        <f t="shared" si="3"/>
        <v>8.4525000000000008E-5</v>
      </c>
      <c r="I26" s="1">
        <f t="shared" si="3"/>
        <v>1.4909999999999999E-4</v>
      </c>
      <c r="J26" t="s">
        <v>24</v>
      </c>
    </row>
    <row r="27" spans="1:13" x14ac:dyDescent="0.2">
      <c r="A27" t="s">
        <v>20</v>
      </c>
      <c r="B27" s="4">
        <f t="shared" ref="B27:I27" si="4">2*$F$10*(B23+B24)/4</f>
        <v>24.347343065320896</v>
      </c>
      <c r="C27" s="4">
        <f t="shared" si="4"/>
        <v>27.803094984269674</v>
      </c>
      <c r="D27" s="4">
        <f t="shared" si="4"/>
        <v>32.986722862692829</v>
      </c>
      <c r="E27" s="4">
        <f t="shared" si="4"/>
        <v>42.097341558103231</v>
      </c>
      <c r="F27" s="4">
        <f t="shared" si="4"/>
        <v>42.097341558103231</v>
      </c>
      <c r="G27" s="4">
        <f t="shared" si="4"/>
        <v>53.407075111026487</v>
      </c>
      <c r="H27" s="4">
        <f t="shared" si="4"/>
        <v>54.192473274423932</v>
      </c>
      <c r="I27" s="4">
        <f t="shared" si="4"/>
        <v>64.402649398590754</v>
      </c>
      <c r="J27" t="s">
        <v>27</v>
      </c>
    </row>
    <row r="28" spans="1:13" x14ac:dyDescent="0.2">
      <c r="A28" s="3" t="s">
        <v>28</v>
      </c>
      <c r="B28" s="3"/>
      <c r="C28" s="3"/>
      <c r="D28" s="3"/>
    </row>
    <row r="29" spans="1:13" x14ac:dyDescent="0.2">
      <c r="A29" t="s">
        <v>29</v>
      </c>
      <c r="B29" s="4">
        <f t="shared" ref="B29:I29" si="5">ROUND(B3*B4/(B8*B20),1)</f>
        <v>11.4</v>
      </c>
      <c r="C29" s="4">
        <f t="shared" si="5"/>
        <v>10.199999999999999</v>
      </c>
      <c r="D29" s="4">
        <f t="shared" si="5"/>
        <v>9.3000000000000007</v>
      </c>
      <c r="E29" s="4">
        <f t="shared" si="5"/>
        <v>8</v>
      </c>
      <c r="F29" s="4">
        <f t="shared" si="5"/>
        <v>8.6</v>
      </c>
      <c r="G29" s="4">
        <f t="shared" si="5"/>
        <v>6</v>
      </c>
      <c r="H29" s="4">
        <f t="shared" si="5"/>
        <v>6.6</v>
      </c>
      <c r="I29" s="4">
        <f t="shared" si="5"/>
        <v>6.8</v>
      </c>
      <c r="J29" t="s">
        <v>30</v>
      </c>
      <c r="K29" t="s">
        <v>32</v>
      </c>
    </row>
    <row r="30" spans="1:13" x14ac:dyDescent="0.2">
      <c r="A30" t="s">
        <v>31</v>
      </c>
      <c r="B30" s="2">
        <f t="shared" ref="B30:I30" si="6">1000*(B29^2)*B11*B20/B3</f>
        <v>0.37264923685963641</v>
      </c>
      <c r="C30" s="2">
        <f t="shared" si="6"/>
        <v>0.35537620384145452</v>
      </c>
      <c r="D30" s="2">
        <f t="shared" si="6"/>
        <v>0.42782938025563644</v>
      </c>
      <c r="E30" s="2">
        <f t="shared" si="6"/>
        <v>0.45257174341818185</v>
      </c>
      <c r="F30" s="2">
        <f t="shared" si="6"/>
        <v>0.52891763544145454</v>
      </c>
      <c r="G30" s="2">
        <f t="shared" si="6"/>
        <v>0.49762785599999992</v>
      </c>
      <c r="H30" s="2">
        <f t="shared" si="6"/>
        <v>0.59715342719999986</v>
      </c>
      <c r="I30" s="2">
        <f t="shared" si="6"/>
        <v>0.88216761117090881</v>
      </c>
      <c r="J30" t="s">
        <v>27</v>
      </c>
      <c r="K30" t="s">
        <v>33</v>
      </c>
    </row>
    <row r="31" spans="1:13" x14ac:dyDescent="0.2">
      <c r="A31" s="3" t="s">
        <v>34</v>
      </c>
    </row>
    <row r="32" spans="1:13" x14ac:dyDescent="0.2">
      <c r="A32" t="s">
        <v>43</v>
      </c>
      <c r="B32" s="2">
        <f t="shared" ref="B32:I32" si="7">B29*B27*0.001</f>
        <v>0.2775597109446582</v>
      </c>
      <c r="C32" s="2">
        <f t="shared" si="7"/>
        <v>0.28359156883955061</v>
      </c>
      <c r="D32" s="2">
        <f t="shared" si="7"/>
        <v>0.30677652262304334</v>
      </c>
      <c r="E32" s="2">
        <f t="shared" si="7"/>
        <v>0.33677873246482587</v>
      </c>
      <c r="F32" s="2">
        <f t="shared" si="7"/>
        <v>0.36203713739968779</v>
      </c>
      <c r="G32" s="2">
        <f t="shared" si="7"/>
        <v>0.32044245066615895</v>
      </c>
      <c r="H32" s="2">
        <f t="shared" si="7"/>
        <v>0.35767032361119794</v>
      </c>
      <c r="I32" s="2">
        <f t="shared" si="7"/>
        <v>0.43793801591041709</v>
      </c>
      <c r="J32" t="s">
        <v>25</v>
      </c>
      <c r="K32" t="s">
        <v>38</v>
      </c>
    </row>
    <row r="33" spans="1:14" x14ac:dyDescent="0.2">
      <c r="A33" t="s">
        <v>44</v>
      </c>
      <c r="B33" s="2">
        <f t="shared" ref="B33:I33" si="8">B32*B12</f>
        <v>2.3315015719351292E-2</v>
      </c>
      <c r="C33" s="2">
        <f t="shared" si="8"/>
        <v>2.3821691782522254E-2</v>
      </c>
      <c r="D33" s="2">
        <f t="shared" si="8"/>
        <v>2.5769227900335642E-2</v>
      </c>
      <c r="E33" s="2">
        <f t="shared" si="8"/>
        <v>2.8289413527045375E-2</v>
      </c>
      <c r="F33" s="2">
        <f t="shared" si="8"/>
        <v>3.0411119541573776E-2</v>
      </c>
      <c r="G33" s="2">
        <f t="shared" si="8"/>
        <v>2.6917165855957353E-2</v>
      </c>
      <c r="H33" s="2">
        <f t="shared" si="8"/>
        <v>3.004430718334063E-2</v>
      </c>
      <c r="I33" s="2">
        <f t="shared" si="8"/>
        <v>3.678679333647504E-2</v>
      </c>
      <c r="J33" t="s">
        <v>36</v>
      </c>
      <c r="K33" t="s">
        <v>42</v>
      </c>
    </row>
    <row r="34" spans="1:14" x14ac:dyDescent="0.2">
      <c r="A34" t="s">
        <v>75</v>
      </c>
      <c r="B34" s="1">
        <f t="shared" ref="B34:I34" si="9">B29*B13*0.000001</f>
        <v>2.2800000000000002E-6</v>
      </c>
      <c r="C34" s="1">
        <f t="shared" si="9"/>
        <v>2.04E-6</v>
      </c>
      <c r="D34" s="1">
        <f t="shared" si="9"/>
        <v>1.8600000000000002E-6</v>
      </c>
      <c r="E34" s="1">
        <f t="shared" si="9"/>
        <v>1.5999999999999999E-6</v>
      </c>
      <c r="F34" s="1">
        <f t="shared" si="9"/>
        <v>1.7199999999999998E-6</v>
      </c>
      <c r="G34" s="1">
        <f t="shared" si="9"/>
        <v>1.2000000000000002E-6</v>
      </c>
      <c r="H34" s="1">
        <f t="shared" si="9"/>
        <v>1.3200000000000001E-6</v>
      </c>
      <c r="I34" s="1">
        <f t="shared" si="9"/>
        <v>1.3600000000000001E-6</v>
      </c>
    </row>
    <row r="35" spans="1:14" x14ac:dyDescent="0.2">
      <c r="A35" t="s">
        <v>54</v>
      </c>
      <c r="B35" s="2">
        <v>0.7</v>
      </c>
      <c r="C35" s="2">
        <v>0.7</v>
      </c>
      <c r="D35" s="2">
        <v>0.7</v>
      </c>
      <c r="E35" s="2">
        <v>0.7</v>
      </c>
      <c r="F35" s="2">
        <v>0.7</v>
      </c>
      <c r="G35" s="2">
        <v>0.7</v>
      </c>
      <c r="H35" s="2">
        <v>0.7</v>
      </c>
      <c r="I35" s="2">
        <v>0.7</v>
      </c>
      <c r="K35" t="s">
        <v>55</v>
      </c>
    </row>
    <row r="36" spans="1:14" x14ac:dyDescent="0.2">
      <c r="A36" t="s">
        <v>45</v>
      </c>
      <c r="B36">
        <f t="shared" ref="B36:I36" si="10">FLOOR(B26*B35/B34,1)</f>
        <v>3</v>
      </c>
      <c r="C36">
        <f t="shared" si="10"/>
        <v>5</v>
      </c>
      <c r="D36">
        <f t="shared" si="10"/>
        <v>7</v>
      </c>
      <c r="E36">
        <f t="shared" si="10"/>
        <v>20</v>
      </c>
      <c r="F36">
        <f t="shared" si="10"/>
        <v>26</v>
      </c>
      <c r="G36">
        <f t="shared" si="10"/>
        <v>33</v>
      </c>
      <c r="H36">
        <f t="shared" si="10"/>
        <v>44</v>
      </c>
      <c r="I36">
        <f t="shared" si="10"/>
        <v>76</v>
      </c>
      <c r="J36" t="s">
        <v>46</v>
      </c>
      <c r="K36" t="s">
        <v>47</v>
      </c>
    </row>
    <row r="37" spans="1:14" x14ac:dyDescent="0.2">
      <c r="A37" t="s">
        <v>52</v>
      </c>
      <c r="B37" s="1">
        <f t="shared" ref="B37:I37" si="11">B36*B29*B13*0.000001</f>
        <v>6.8400000000000006E-6</v>
      </c>
      <c r="C37" s="1">
        <f t="shared" si="11"/>
        <v>1.0200000000000001E-5</v>
      </c>
      <c r="D37" s="1">
        <f t="shared" si="11"/>
        <v>1.3020000000000002E-5</v>
      </c>
      <c r="E37" s="1">
        <f t="shared" si="11"/>
        <v>3.1999999999999999E-5</v>
      </c>
      <c r="F37" s="1">
        <f t="shared" si="11"/>
        <v>4.4719999999999999E-5</v>
      </c>
      <c r="G37" s="1">
        <f t="shared" si="11"/>
        <v>3.96E-5</v>
      </c>
      <c r="H37" s="1">
        <f t="shared" si="11"/>
        <v>5.8079999999999993E-5</v>
      </c>
      <c r="I37" s="1">
        <f t="shared" si="11"/>
        <v>1.0336E-4</v>
      </c>
      <c r="J37" t="s">
        <v>24</v>
      </c>
      <c r="K37" t="s">
        <v>53</v>
      </c>
    </row>
    <row r="38" spans="1:14" x14ac:dyDescent="0.2">
      <c r="A38" t="s">
        <v>39</v>
      </c>
      <c r="B38" s="1">
        <f>B33/B36</f>
        <v>7.7716719064504303E-3</v>
      </c>
      <c r="C38" s="1">
        <f>C33/C36</f>
        <v>4.7643383565044509E-3</v>
      </c>
      <c r="D38" s="1">
        <f>D33/D36</f>
        <v>3.6813182714765203E-3</v>
      </c>
      <c r="E38" s="1">
        <f>E33/E36</f>
        <v>1.4144706763522688E-3</v>
      </c>
      <c r="F38" s="1">
        <f>F33/F36</f>
        <v>1.1696584439066836E-3</v>
      </c>
      <c r="G38" s="1">
        <f t="shared" ref="G38:I38" si="12">G33/G36</f>
        <v>8.1567169260476826E-4</v>
      </c>
      <c r="H38" s="1">
        <f t="shared" si="12"/>
        <v>6.828251632577416E-4</v>
      </c>
      <c r="I38" s="1">
        <f t="shared" si="12"/>
        <v>4.8403675442730315E-4</v>
      </c>
      <c r="J38" t="s">
        <v>36</v>
      </c>
      <c r="K38" t="s">
        <v>68</v>
      </c>
    </row>
    <row r="39" spans="1:14" x14ac:dyDescent="0.2">
      <c r="A39" t="s">
        <v>67</v>
      </c>
      <c r="B39" s="2">
        <f t="shared" ref="B39:I39" si="13">(B4^2)*B38</f>
        <v>0.77716719064504303</v>
      </c>
      <c r="C39" s="2">
        <f t="shared" si="13"/>
        <v>0.47643383565044506</v>
      </c>
      <c r="D39" s="2">
        <f t="shared" si="13"/>
        <v>0.36813182714765202</v>
      </c>
      <c r="E39" s="2">
        <f t="shared" si="13"/>
        <v>0.14144706763522688</v>
      </c>
      <c r="F39" s="2">
        <f t="shared" si="13"/>
        <v>0.11696584439066836</v>
      </c>
      <c r="G39" s="2">
        <f t="shared" si="13"/>
        <v>8.1567169260476829E-2</v>
      </c>
      <c r="H39" s="2">
        <f t="shared" si="13"/>
        <v>6.8282516325774159E-2</v>
      </c>
      <c r="I39" s="2">
        <f t="shared" si="13"/>
        <v>4.8403675442730318E-2</v>
      </c>
      <c r="J39" t="s">
        <v>65</v>
      </c>
      <c r="K39" t="s">
        <v>69</v>
      </c>
    </row>
    <row r="40" spans="1:14" x14ac:dyDescent="0.2">
      <c r="A40" s="3" t="s">
        <v>56</v>
      </c>
    </row>
    <row r="41" spans="1:14" x14ac:dyDescent="0.2">
      <c r="A41" t="s">
        <v>57</v>
      </c>
      <c r="B41" s="2">
        <f t="shared" ref="B41:I41" si="14">1000*B22*B15*(B7/0.1)^B16*(B5/100000)^B17</f>
        <v>0.62965605563272875</v>
      </c>
      <c r="C41" s="2">
        <f t="shared" si="14"/>
        <v>0.68687648822939407</v>
      </c>
      <c r="D41" s="2">
        <f t="shared" si="14"/>
        <v>0.6178230700481635</v>
      </c>
      <c r="E41" s="2">
        <f t="shared" si="14"/>
        <v>0.770995376955116</v>
      </c>
      <c r="F41" s="2">
        <f t="shared" si="14"/>
        <v>0.75599667853658614</v>
      </c>
      <c r="G41" s="2">
        <f t="shared" si="14"/>
        <v>0.69665899153305844</v>
      </c>
      <c r="H41" s="2">
        <f t="shared" si="14"/>
        <v>0.59618262065109562</v>
      </c>
      <c r="I41" s="2">
        <f t="shared" si="14"/>
        <v>0.51598713938139318</v>
      </c>
      <c r="J41" t="s">
        <v>65</v>
      </c>
      <c r="K41" t="s">
        <v>66</v>
      </c>
    </row>
    <row r="42" spans="1:14" x14ac:dyDescent="0.2">
      <c r="A42" t="s">
        <v>70</v>
      </c>
      <c r="B42" s="2">
        <f t="shared" ref="B42:I42" si="15">B41+B39</f>
        <v>1.4068232462777717</v>
      </c>
      <c r="C42" s="2">
        <f t="shared" si="15"/>
        <v>1.163310323879839</v>
      </c>
      <c r="D42" s="2">
        <f t="shared" si="15"/>
        <v>0.98595489719581553</v>
      </c>
      <c r="E42" s="2">
        <f t="shared" si="15"/>
        <v>0.91244244459034285</v>
      </c>
      <c r="F42" s="2">
        <f t="shared" si="15"/>
        <v>0.87296252292725451</v>
      </c>
      <c r="G42" s="2">
        <f t="shared" si="15"/>
        <v>0.77822616079353524</v>
      </c>
      <c r="H42" s="2">
        <f t="shared" si="15"/>
        <v>0.66446513697686982</v>
      </c>
      <c r="I42" s="2">
        <f t="shared" si="15"/>
        <v>0.56439081482412345</v>
      </c>
      <c r="J42" t="s">
        <v>65</v>
      </c>
      <c r="K42" t="s">
        <v>71</v>
      </c>
      <c r="N42">
        <f>SUMSQ(B42:I42)</f>
        <v>7.2648512638018481</v>
      </c>
    </row>
  </sheetData>
  <scenarios current="1">
    <scenario name="PQ26/20" count="1" user="William Dally" comment="Created by William Dally on 10/11/2012">
      <inputCells r="G7" val="0.0949442202726616"/>
    </scenario>
    <scenario name="All" count="5" user="William Dally" comment="Created by William Dally on 10/11/2012">
      <inputCells r="E7" val="0.158662619967846"/>
      <inputCells r="F7" val="0.158662619967846"/>
      <inputCells r="G7" val="0.109306550988126"/>
      <inputCells r="H7" val="0.0995226601927789"/>
      <inputCells r="I7" val="0.0654012688429057"/>
    </scenario>
  </scenarios>
  <pageMargins left="0.75" right="0.75" top="1" bottom="1" header="0.5" footer="0.5"/>
  <pageSetup orientation="portrait" horizontalDpi="4294967292" verticalDpi="429496729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5"/>
  <sheetViews>
    <sheetView workbookViewId="0">
      <selection activeCell="N46" sqref="N46"/>
    </sheetView>
  </sheetViews>
  <sheetFormatPr baseColWidth="10" defaultRowHeight="16" x14ac:dyDescent="0.2"/>
  <cols>
    <col min="10" max="10" width="8.33203125" bestFit="1" customWidth="1"/>
    <col min="11" max="11" width="25.83203125" bestFit="1" customWidth="1"/>
  </cols>
  <sheetData>
    <row r="1" spans="1:11" x14ac:dyDescent="0.2">
      <c r="A1" s="3" t="s">
        <v>0</v>
      </c>
      <c r="B1" s="3"/>
      <c r="C1" s="3"/>
      <c r="D1" s="3"/>
    </row>
    <row r="2" spans="1:11" x14ac:dyDescent="0.2">
      <c r="A2" s="3" t="s">
        <v>21</v>
      </c>
      <c r="B2" s="3"/>
      <c r="C2" s="3"/>
      <c r="D2" s="3"/>
    </row>
    <row r="3" spans="1:11" x14ac:dyDescent="0.2">
      <c r="A3" t="s">
        <v>1</v>
      </c>
      <c r="B3" s="1">
        <f>0.000022*100000/B5</f>
        <v>1.0999999999999998E-5</v>
      </c>
      <c r="C3" s="1">
        <f t="shared" ref="C3:I3" si="0">0.000022*100000/C5</f>
        <v>1.0999999999999998E-5</v>
      </c>
      <c r="D3" s="1">
        <f t="shared" si="0"/>
        <v>1.0999999999999998E-5</v>
      </c>
      <c r="E3" s="1">
        <f t="shared" si="0"/>
        <v>1.0999999999999998E-5</v>
      </c>
      <c r="F3" s="1">
        <f t="shared" si="0"/>
        <v>1.0999999999999998E-5</v>
      </c>
      <c r="G3" s="1">
        <f t="shared" si="0"/>
        <v>1.0999999999999998E-5</v>
      </c>
      <c r="H3" s="1">
        <f t="shared" si="0"/>
        <v>1.0999999999999998E-5</v>
      </c>
      <c r="I3" s="1">
        <f t="shared" si="0"/>
        <v>1.0999999999999998E-5</v>
      </c>
      <c r="J3" t="s">
        <v>5</v>
      </c>
      <c r="K3" t="s">
        <v>2</v>
      </c>
    </row>
    <row r="4" spans="1:11" x14ac:dyDescent="0.2">
      <c r="A4" t="s">
        <v>3</v>
      </c>
      <c r="B4">
        <v>10</v>
      </c>
      <c r="C4">
        <v>10</v>
      </c>
      <c r="D4">
        <v>10</v>
      </c>
      <c r="E4">
        <v>10</v>
      </c>
      <c r="F4">
        <v>10</v>
      </c>
      <c r="G4">
        <v>10</v>
      </c>
      <c r="H4">
        <v>10</v>
      </c>
      <c r="I4">
        <v>10</v>
      </c>
      <c r="J4" t="s">
        <v>4</v>
      </c>
      <c r="K4" t="s">
        <v>6</v>
      </c>
    </row>
    <row r="5" spans="1:11" x14ac:dyDescent="0.2">
      <c r="A5" t="s">
        <v>49</v>
      </c>
      <c r="B5" s="1">
        <v>200000</v>
      </c>
      <c r="C5" s="1">
        <v>200000</v>
      </c>
      <c r="D5" s="1">
        <v>200000</v>
      </c>
      <c r="E5" s="1">
        <v>200000</v>
      </c>
      <c r="F5" s="1">
        <v>200000</v>
      </c>
      <c r="G5" s="1">
        <v>200000</v>
      </c>
      <c r="H5" s="1">
        <v>200000</v>
      </c>
      <c r="I5" s="1">
        <v>200000</v>
      </c>
      <c r="J5" t="s">
        <v>50</v>
      </c>
      <c r="K5" t="s">
        <v>51</v>
      </c>
    </row>
    <row r="6" spans="1:11" x14ac:dyDescent="0.2">
      <c r="A6" s="3" t="s">
        <v>76</v>
      </c>
      <c r="B6" s="1"/>
      <c r="C6" s="1"/>
      <c r="D6" s="1"/>
      <c r="E6" s="1"/>
      <c r="F6" s="1"/>
      <c r="G6" s="1"/>
      <c r="H6" s="1"/>
      <c r="I6" s="1"/>
    </row>
    <row r="7" spans="1:11" x14ac:dyDescent="0.2">
      <c r="A7" t="s">
        <v>123</v>
      </c>
      <c r="B7" s="2">
        <v>0.14755791911940105</v>
      </c>
      <c r="C7" s="2">
        <v>0.12766664776224831</v>
      </c>
      <c r="D7" s="2">
        <v>9.3078827666210312E-2</v>
      </c>
      <c r="E7" s="2">
        <v>8.4554039404151987E-2</v>
      </c>
      <c r="F7" s="2">
        <v>7.9351099225864433E-2</v>
      </c>
      <c r="G7" s="2">
        <v>6.1948584209053817E-2</v>
      </c>
      <c r="H7" s="2">
        <v>5.9342614076786059E-2</v>
      </c>
      <c r="I7" s="2">
        <v>4.1962261125371818E-2</v>
      </c>
      <c r="J7" t="s">
        <v>8</v>
      </c>
      <c r="K7" t="s">
        <v>124</v>
      </c>
    </row>
    <row r="8" spans="1:11" x14ac:dyDescent="0.2">
      <c r="A8" t="s">
        <v>7</v>
      </c>
      <c r="B8" s="2">
        <f>2*B7</f>
        <v>0.29511583823880211</v>
      </c>
      <c r="C8" s="2">
        <f>2*C7</f>
        <v>0.25533329552449663</v>
      </c>
      <c r="D8" s="2">
        <f>2*D7</f>
        <v>0.18615765533242062</v>
      </c>
      <c r="E8" s="2">
        <f>2*E7</f>
        <v>0.16910807880830397</v>
      </c>
      <c r="F8" s="2">
        <f t="shared" ref="F8:I8" si="1">2*F7</f>
        <v>0.15870219845172887</v>
      </c>
      <c r="G8" s="2">
        <f t="shared" si="1"/>
        <v>0.12389716841810763</v>
      </c>
      <c r="H8" s="2">
        <f t="shared" si="1"/>
        <v>0.11868522815357212</v>
      </c>
      <c r="I8" s="2">
        <f t="shared" si="1"/>
        <v>8.3924522250743636E-2</v>
      </c>
      <c r="J8" t="s">
        <v>8</v>
      </c>
      <c r="K8" t="s">
        <v>9</v>
      </c>
    </row>
    <row r="9" spans="1:11" x14ac:dyDescent="0.2">
      <c r="A9" s="3" t="s">
        <v>22</v>
      </c>
      <c r="B9" s="2"/>
      <c r="C9" s="2"/>
      <c r="D9" s="2"/>
      <c r="E9" s="2"/>
      <c r="F9" s="2"/>
      <c r="G9" s="2"/>
      <c r="H9" s="2"/>
      <c r="I9" s="2"/>
    </row>
    <row r="10" spans="1:11" x14ac:dyDescent="0.2">
      <c r="A10" t="s">
        <v>10</v>
      </c>
      <c r="B10" s="2">
        <f t="shared" ref="B10:I10" si="2">4*ATAN(1)</f>
        <v>3.1415926535897931</v>
      </c>
      <c r="C10" s="2">
        <f t="shared" si="2"/>
        <v>3.1415926535897931</v>
      </c>
      <c r="D10" s="2">
        <f t="shared" si="2"/>
        <v>3.1415926535897931</v>
      </c>
      <c r="E10" s="2">
        <f t="shared" si="2"/>
        <v>3.1415926535897931</v>
      </c>
      <c r="F10" s="2">
        <f t="shared" si="2"/>
        <v>3.1415926535897931</v>
      </c>
      <c r="G10" s="2">
        <f t="shared" si="2"/>
        <v>3.1415926535897931</v>
      </c>
      <c r="H10" s="2">
        <f t="shared" si="2"/>
        <v>3.1415926535897931</v>
      </c>
      <c r="I10" s="2">
        <f t="shared" si="2"/>
        <v>3.1415926535897931</v>
      </c>
    </row>
    <row r="11" spans="1:11" x14ac:dyDescent="0.2">
      <c r="A11" t="s">
        <v>11</v>
      </c>
      <c r="B11" s="1">
        <f t="shared" ref="B11:I11" si="3">4*3.14159*0.0000001</f>
        <v>1.2566359999999999E-6</v>
      </c>
      <c r="C11" s="1">
        <f t="shared" si="3"/>
        <v>1.2566359999999999E-6</v>
      </c>
      <c r="D11" s="1">
        <f t="shared" si="3"/>
        <v>1.2566359999999999E-6</v>
      </c>
      <c r="E11" s="1">
        <f t="shared" si="3"/>
        <v>1.2566359999999999E-6</v>
      </c>
      <c r="F11" s="1">
        <f t="shared" si="3"/>
        <v>1.2566359999999999E-6</v>
      </c>
      <c r="G11" s="1">
        <f t="shared" si="3"/>
        <v>1.2566359999999999E-6</v>
      </c>
      <c r="H11" s="1">
        <f t="shared" si="3"/>
        <v>1.2566359999999999E-6</v>
      </c>
      <c r="I11" s="1">
        <f t="shared" si="3"/>
        <v>1.2566359999999999E-6</v>
      </c>
    </row>
    <row r="12" spans="1:11" x14ac:dyDescent="0.2">
      <c r="A12" t="s">
        <v>39</v>
      </c>
      <c r="B12" s="1">
        <v>8.4000000000000005E-2</v>
      </c>
      <c r="C12" s="1">
        <v>8.4000000000000005E-2</v>
      </c>
      <c r="D12" s="1">
        <v>8.4000000000000005E-2</v>
      </c>
      <c r="E12" s="1">
        <v>8.4000000000000005E-2</v>
      </c>
      <c r="F12" s="1">
        <v>8.4000000000000005E-2</v>
      </c>
      <c r="G12" s="1">
        <v>8.4000000000000005E-2</v>
      </c>
      <c r="H12" s="1">
        <v>8.4000000000000005E-2</v>
      </c>
      <c r="I12" s="1">
        <v>8.4000000000000005E-2</v>
      </c>
      <c r="J12" t="s">
        <v>40</v>
      </c>
      <c r="K12" t="s">
        <v>41</v>
      </c>
    </row>
    <row r="13" spans="1:11" x14ac:dyDescent="0.2">
      <c r="A13" t="s">
        <v>19</v>
      </c>
      <c r="B13" s="1">
        <v>0.2</v>
      </c>
      <c r="C13" s="1">
        <v>0.2</v>
      </c>
      <c r="D13" s="1">
        <v>0.2</v>
      </c>
      <c r="E13" s="1">
        <v>0.2</v>
      </c>
      <c r="F13" s="1">
        <v>0.2</v>
      </c>
      <c r="G13" s="1">
        <v>0.2</v>
      </c>
      <c r="H13" s="1">
        <v>0.2</v>
      </c>
      <c r="I13" s="1">
        <v>0.2</v>
      </c>
      <c r="J13" t="s">
        <v>48</v>
      </c>
      <c r="K13" t="s">
        <v>41</v>
      </c>
    </row>
    <row r="14" spans="1:11" x14ac:dyDescent="0.2">
      <c r="A14" s="3" t="s">
        <v>64</v>
      </c>
    </row>
    <row r="15" spans="1:11" x14ac:dyDescent="0.2">
      <c r="A15" t="s">
        <v>57</v>
      </c>
      <c r="B15" s="4">
        <v>80</v>
      </c>
      <c r="C15" s="4">
        <v>80</v>
      </c>
      <c r="D15" s="4">
        <v>80</v>
      </c>
      <c r="E15" s="4">
        <v>80</v>
      </c>
      <c r="F15" s="4">
        <v>80</v>
      </c>
      <c r="G15" s="4">
        <v>80</v>
      </c>
      <c r="H15" s="4">
        <v>80</v>
      </c>
      <c r="I15" s="4">
        <v>80</v>
      </c>
      <c r="J15" t="s">
        <v>58</v>
      </c>
      <c r="K15" t="s">
        <v>59</v>
      </c>
    </row>
    <row r="16" spans="1:11" x14ac:dyDescent="0.2">
      <c r="A16" t="s">
        <v>60</v>
      </c>
      <c r="B16" s="2">
        <v>2.5</v>
      </c>
      <c r="C16" s="2">
        <v>2.5</v>
      </c>
      <c r="D16" s="2">
        <v>2.5</v>
      </c>
      <c r="E16" s="2">
        <v>2.5</v>
      </c>
      <c r="F16" s="2">
        <v>2.5</v>
      </c>
      <c r="G16" s="2">
        <v>2.5</v>
      </c>
      <c r="H16" s="2">
        <v>2.5</v>
      </c>
      <c r="I16" s="2">
        <v>2.5</v>
      </c>
      <c r="K16" t="s">
        <v>61</v>
      </c>
    </row>
    <row r="17" spans="1:13" x14ac:dyDescent="0.2">
      <c r="A17" t="s">
        <v>62</v>
      </c>
      <c r="B17" s="2">
        <v>1.65</v>
      </c>
      <c r="C17" s="2">
        <v>1.65</v>
      </c>
      <c r="D17" s="2">
        <v>1.65</v>
      </c>
      <c r="E17" s="2">
        <v>1.65</v>
      </c>
      <c r="F17" s="2">
        <v>1.65</v>
      </c>
      <c r="G17" s="2">
        <v>1.65</v>
      </c>
      <c r="H17" s="2">
        <v>1.65</v>
      </c>
      <c r="I17" s="2">
        <v>1.65</v>
      </c>
      <c r="K17" t="s">
        <v>63</v>
      </c>
    </row>
    <row r="18" spans="1:13" x14ac:dyDescent="0.2">
      <c r="A18" s="3" t="s">
        <v>23</v>
      </c>
      <c r="B18" s="3"/>
      <c r="C18" s="3"/>
      <c r="D18" s="3"/>
    </row>
    <row r="19" spans="1:13" x14ac:dyDescent="0.2">
      <c r="A19" t="s">
        <v>12</v>
      </c>
      <c r="B19" t="s">
        <v>126</v>
      </c>
      <c r="C19" t="s">
        <v>127</v>
      </c>
      <c r="D19" t="s">
        <v>125</v>
      </c>
      <c r="E19" t="s">
        <v>77</v>
      </c>
      <c r="F19" t="s">
        <v>72</v>
      </c>
      <c r="G19" t="s">
        <v>74</v>
      </c>
      <c r="H19" t="s">
        <v>73</v>
      </c>
      <c r="I19" t="s">
        <v>13</v>
      </c>
    </row>
    <row r="20" spans="1:13" x14ac:dyDescent="0.2">
      <c r="A20" t="s">
        <v>14</v>
      </c>
      <c r="B20" s="1">
        <v>2.51E-5</v>
      </c>
      <c r="C20" s="1">
        <f>0.0000299</f>
        <v>2.9899999999999998E-5</v>
      </c>
      <c r="D20" s="1">
        <v>4.3300000000000002E-5</v>
      </c>
      <c r="E20" s="1">
        <v>6.19E-5</v>
      </c>
      <c r="F20" s="1">
        <v>6.2600000000000004E-5</v>
      </c>
      <c r="G20" s="1">
        <v>1.21E-4</v>
      </c>
      <c r="H20" s="1">
        <v>1.2E-4</v>
      </c>
      <c r="I20" s="1">
        <v>1.6699999999999999E-4</v>
      </c>
      <c r="J20" t="s">
        <v>24</v>
      </c>
    </row>
    <row r="21" spans="1:13" x14ac:dyDescent="0.2">
      <c r="A21" t="s">
        <v>15</v>
      </c>
      <c r="B21" s="1">
        <f>0.0198</f>
        <v>1.9800000000000002E-2</v>
      </c>
      <c r="C21" s="1">
        <f>0.021</f>
        <v>2.1000000000000001E-2</v>
      </c>
      <c r="D21" s="1">
        <v>2.58E-2</v>
      </c>
      <c r="E21" s="1">
        <v>3.7600000000000001E-2</v>
      </c>
      <c r="F21" s="1">
        <v>4.5699999999999998E-2</v>
      </c>
      <c r="G21" s="1">
        <v>4.4999999999999998E-2</v>
      </c>
      <c r="H21" s="1">
        <v>5.4300000000000001E-2</v>
      </c>
      <c r="I21" s="1">
        <v>7.4700000000000003E-2</v>
      </c>
      <c r="J21" t="s">
        <v>25</v>
      </c>
    </row>
    <row r="22" spans="1:13" x14ac:dyDescent="0.2">
      <c r="A22" t="s">
        <v>16</v>
      </c>
      <c r="B22" s="1">
        <f>0.000000495</f>
        <v>4.9500000000000003E-7</v>
      </c>
      <c r="C22" s="1">
        <f>0.000000628</f>
        <v>6.2799999999999996E-7</v>
      </c>
      <c r="D22" s="1">
        <v>1.1200000000000001E-6</v>
      </c>
      <c r="E22" s="1">
        <v>2.3300000000000001E-6</v>
      </c>
      <c r="F22" s="1">
        <v>2.8499999999999998E-6</v>
      </c>
      <c r="G22" s="1">
        <v>5.4700000000000001E-6</v>
      </c>
      <c r="H22" s="1">
        <v>5.8200000000000002E-6</v>
      </c>
      <c r="I22" s="1">
        <v>1.2500000000000001E-5</v>
      </c>
      <c r="J22" t="s">
        <v>26</v>
      </c>
    </row>
    <row r="23" spans="1:13" x14ac:dyDescent="0.2">
      <c r="A23" t="s">
        <v>17</v>
      </c>
      <c r="B23" s="2">
        <v>9.5</v>
      </c>
      <c r="C23" s="2">
        <v>11.8</v>
      </c>
      <c r="D23" s="2">
        <v>13.4</v>
      </c>
      <c r="E23" s="2">
        <v>18</v>
      </c>
      <c r="F23" s="2">
        <v>18</v>
      </c>
      <c r="G23" s="2">
        <v>22</v>
      </c>
      <c r="H23" s="2">
        <v>22.5</v>
      </c>
      <c r="I23" s="2">
        <v>27.5</v>
      </c>
      <c r="J23" t="s">
        <v>27</v>
      </c>
      <c r="M23" s="2"/>
    </row>
    <row r="24" spans="1:13" x14ac:dyDescent="0.2">
      <c r="A24" t="s">
        <v>18</v>
      </c>
      <c r="B24" s="2">
        <v>6</v>
      </c>
      <c r="C24" s="2">
        <v>5.9</v>
      </c>
      <c r="D24" s="2">
        <v>7.6</v>
      </c>
      <c r="E24" s="2">
        <v>8.8000000000000007</v>
      </c>
      <c r="F24" s="2">
        <v>8.8000000000000007</v>
      </c>
      <c r="G24" s="2">
        <v>12</v>
      </c>
      <c r="H24" s="2">
        <v>12</v>
      </c>
      <c r="I24" s="2">
        <v>13.5</v>
      </c>
      <c r="J24" t="s">
        <v>27</v>
      </c>
      <c r="M24" s="2"/>
    </row>
    <row r="25" spans="1:13" x14ac:dyDescent="0.2">
      <c r="A25" t="s">
        <v>5</v>
      </c>
      <c r="B25" s="2">
        <v>5.6</v>
      </c>
      <c r="C25" s="2">
        <v>5.6</v>
      </c>
      <c r="D25" s="2">
        <v>7.2</v>
      </c>
      <c r="E25" s="2">
        <v>10.3</v>
      </c>
      <c r="F25" s="2">
        <v>14</v>
      </c>
      <c r="G25" s="2">
        <v>11.5</v>
      </c>
      <c r="H25" s="2">
        <v>16.100000000000001</v>
      </c>
      <c r="I25" s="2">
        <v>21.3</v>
      </c>
      <c r="J25" t="s">
        <v>27</v>
      </c>
      <c r="M25" s="2"/>
    </row>
    <row r="26" spans="1:13" x14ac:dyDescent="0.2">
      <c r="A26" t="s">
        <v>19</v>
      </c>
      <c r="B26" s="1">
        <f t="shared" ref="B26:I26" si="4">0.000001*B25*(B23-B24)/2</f>
        <v>9.7999999999999993E-6</v>
      </c>
      <c r="C26" s="1">
        <f t="shared" si="4"/>
        <v>1.6520000000000001E-5</v>
      </c>
      <c r="D26" s="1">
        <f t="shared" si="4"/>
        <v>2.088E-5</v>
      </c>
      <c r="E26" s="1">
        <f t="shared" si="4"/>
        <v>4.7379999999999997E-5</v>
      </c>
      <c r="F26" s="1">
        <f t="shared" si="4"/>
        <v>6.4399999999999993E-5</v>
      </c>
      <c r="G26" s="1">
        <f t="shared" si="4"/>
        <v>5.7500000000000002E-5</v>
      </c>
      <c r="H26" s="1">
        <f t="shared" si="4"/>
        <v>8.4525000000000008E-5</v>
      </c>
      <c r="I26" s="1">
        <f t="shared" si="4"/>
        <v>1.4909999999999999E-4</v>
      </c>
      <c r="J26" t="s">
        <v>24</v>
      </c>
    </row>
    <row r="27" spans="1:13" x14ac:dyDescent="0.2">
      <c r="A27" t="s">
        <v>20</v>
      </c>
      <c r="B27" s="4">
        <f t="shared" ref="B27:I27" si="5">2*$F$10*(B23+B24)/4</f>
        <v>24.347343065320896</v>
      </c>
      <c r="C27" s="4">
        <f t="shared" si="5"/>
        <v>27.803094984269674</v>
      </c>
      <c r="D27" s="4">
        <f t="shared" si="5"/>
        <v>32.986722862692829</v>
      </c>
      <c r="E27" s="4">
        <f t="shared" si="5"/>
        <v>42.097341558103231</v>
      </c>
      <c r="F27" s="4">
        <f t="shared" si="5"/>
        <v>42.097341558103231</v>
      </c>
      <c r="G27" s="4">
        <f t="shared" si="5"/>
        <v>53.407075111026487</v>
      </c>
      <c r="H27" s="4">
        <f t="shared" si="5"/>
        <v>54.192473274423932</v>
      </c>
      <c r="I27" s="4">
        <f t="shared" si="5"/>
        <v>64.402649398590754</v>
      </c>
      <c r="J27" t="s">
        <v>27</v>
      </c>
    </row>
    <row r="28" spans="1:13" x14ac:dyDescent="0.2">
      <c r="A28" s="3" t="s">
        <v>28</v>
      </c>
      <c r="B28" s="3"/>
      <c r="C28" s="3"/>
      <c r="D28" s="3"/>
    </row>
    <row r="29" spans="1:13" x14ac:dyDescent="0.2">
      <c r="A29" t="s">
        <v>29</v>
      </c>
      <c r="B29" s="4">
        <f t="shared" ref="B29:I29" si="6">ROUND(B3*B4/(B8*B20),1)</f>
        <v>14.8</v>
      </c>
      <c r="C29" s="4">
        <f t="shared" si="6"/>
        <v>14.4</v>
      </c>
      <c r="D29" s="4">
        <f t="shared" si="6"/>
        <v>13.6</v>
      </c>
      <c r="E29" s="4">
        <f t="shared" si="6"/>
        <v>10.5</v>
      </c>
      <c r="F29" s="4">
        <f t="shared" si="6"/>
        <v>11.1</v>
      </c>
      <c r="G29" s="4">
        <f t="shared" si="6"/>
        <v>7.3</v>
      </c>
      <c r="H29" s="4">
        <f t="shared" si="6"/>
        <v>7.7</v>
      </c>
      <c r="I29" s="4">
        <f t="shared" si="6"/>
        <v>7.8</v>
      </c>
      <c r="J29" t="s">
        <v>30</v>
      </c>
      <c r="K29" t="s">
        <v>32</v>
      </c>
    </row>
    <row r="30" spans="1:13" x14ac:dyDescent="0.2">
      <c r="A30" t="s">
        <v>31</v>
      </c>
      <c r="B30" s="2">
        <f t="shared" ref="B30:I30" si="7">1000*(B29^2)*B11*B20/B3</f>
        <v>0.62807855372218202</v>
      </c>
      <c r="C30" s="2">
        <f t="shared" si="7"/>
        <v>0.70829305679127275</v>
      </c>
      <c r="D30" s="2">
        <f t="shared" si="7"/>
        <v>0.91491874404072726</v>
      </c>
      <c r="E30" s="2">
        <f t="shared" si="7"/>
        <v>0.77962554237272741</v>
      </c>
      <c r="F30" s="2">
        <f t="shared" si="7"/>
        <v>0.88112414633236369</v>
      </c>
      <c r="G30" s="2">
        <f t="shared" si="7"/>
        <v>0.73662745683999997</v>
      </c>
      <c r="H30" s="2">
        <f t="shared" si="7"/>
        <v>0.81279216480000016</v>
      </c>
      <c r="I30" s="2">
        <f t="shared" si="7"/>
        <v>1.1607066925527272</v>
      </c>
      <c r="J30" t="s">
        <v>27</v>
      </c>
      <c r="K30" t="s">
        <v>33</v>
      </c>
    </row>
    <row r="31" spans="1:13" x14ac:dyDescent="0.2">
      <c r="A31" s="3" t="s">
        <v>34</v>
      </c>
    </row>
    <row r="32" spans="1:13" x14ac:dyDescent="0.2">
      <c r="A32" t="s">
        <v>43</v>
      </c>
      <c r="B32" s="2">
        <f t="shared" ref="B32:I32" si="8">B29*B27*0.001</f>
        <v>0.3603406773667493</v>
      </c>
      <c r="C32" s="2">
        <f t="shared" si="8"/>
        <v>0.40036456777348334</v>
      </c>
      <c r="D32" s="2">
        <f t="shared" si="8"/>
        <v>0.44861943093262252</v>
      </c>
      <c r="E32" s="2">
        <f t="shared" si="8"/>
        <v>0.44202208636008389</v>
      </c>
      <c r="F32" s="2">
        <f t="shared" si="8"/>
        <v>0.46728049129494587</v>
      </c>
      <c r="G32" s="2">
        <f t="shared" si="8"/>
        <v>0.38987164831049337</v>
      </c>
      <c r="H32" s="2">
        <f t="shared" si="8"/>
        <v>0.41728204421306431</v>
      </c>
      <c r="I32" s="2">
        <f t="shared" si="8"/>
        <v>0.50234066530900789</v>
      </c>
      <c r="J32" t="s">
        <v>25</v>
      </c>
      <c r="K32" t="s">
        <v>38</v>
      </c>
    </row>
    <row r="33" spans="1:14" x14ac:dyDescent="0.2">
      <c r="A33" t="s">
        <v>44</v>
      </c>
      <c r="B33" s="2">
        <f t="shared" ref="B33:I33" si="9">B32*B12</f>
        <v>3.0268616898806944E-2</v>
      </c>
      <c r="C33" s="2">
        <f t="shared" si="9"/>
        <v>3.3630623692972601E-2</v>
      </c>
      <c r="D33" s="2">
        <f t="shared" si="9"/>
        <v>3.7684032198340295E-2</v>
      </c>
      <c r="E33" s="2">
        <f t="shared" si="9"/>
        <v>3.712985525424705E-2</v>
      </c>
      <c r="F33" s="2">
        <f t="shared" si="9"/>
        <v>3.9251561268775458E-2</v>
      </c>
      <c r="G33" s="2">
        <f t="shared" si="9"/>
        <v>3.2749218458081444E-2</v>
      </c>
      <c r="H33" s="2">
        <f t="shared" si="9"/>
        <v>3.5051691713897402E-2</v>
      </c>
      <c r="I33" s="2">
        <f t="shared" si="9"/>
        <v>4.2196615885956669E-2</v>
      </c>
      <c r="J33" t="s">
        <v>36</v>
      </c>
      <c r="K33" t="s">
        <v>42</v>
      </c>
    </row>
    <row r="34" spans="1:14" x14ac:dyDescent="0.2">
      <c r="A34" t="s">
        <v>75</v>
      </c>
      <c r="B34" s="1">
        <f t="shared" ref="B34:I34" si="10">B29*B13*0.000001</f>
        <v>2.9600000000000005E-6</v>
      </c>
      <c r="C34" s="1">
        <f t="shared" si="10"/>
        <v>2.8800000000000004E-6</v>
      </c>
      <c r="D34" s="1">
        <f t="shared" si="10"/>
        <v>2.7200000000000002E-6</v>
      </c>
      <c r="E34" s="1">
        <f t="shared" si="10"/>
        <v>2.0999999999999998E-6</v>
      </c>
      <c r="F34" s="1">
        <f t="shared" si="10"/>
        <v>2.2199999999999999E-6</v>
      </c>
      <c r="G34" s="1">
        <f t="shared" si="10"/>
        <v>1.46E-6</v>
      </c>
      <c r="H34" s="1">
        <f t="shared" si="10"/>
        <v>1.5399999999999999E-6</v>
      </c>
      <c r="I34" s="1">
        <f t="shared" si="10"/>
        <v>1.5599999999999999E-6</v>
      </c>
    </row>
    <row r="35" spans="1:14" x14ac:dyDescent="0.2">
      <c r="A35" t="s">
        <v>54</v>
      </c>
      <c r="B35" s="2">
        <v>0.7</v>
      </c>
      <c r="C35" s="2">
        <v>0.7</v>
      </c>
      <c r="D35" s="2">
        <v>0.7</v>
      </c>
      <c r="E35" s="2">
        <v>0.7</v>
      </c>
      <c r="F35" s="2">
        <v>0.7</v>
      </c>
      <c r="G35" s="2">
        <v>0.7</v>
      </c>
      <c r="H35" s="2">
        <v>0.7</v>
      </c>
      <c r="I35" s="2">
        <v>0.7</v>
      </c>
      <c r="K35" t="s">
        <v>55</v>
      </c>
    </row>
    <row r="36" spans="1:14" x14ac:dyDescent="0.2">
      <c r="A36" t="s">
        <v>45</v>
      </c>
      <c r="B36">
        <f t="shared" ref="B36:I36" si="11">FLOOR(B26*B35/B34,1)</f>
        <v>2</v>
      </c>
      <c r="C36">
        <f t="shared" si="11"/>
        <v>4</v>
      </c>
      <c r="D36">
        <f t="shared" si="11"/>
        <v>5</v>
      </c>
      <c r="E36">
        <f t="shared" si="11"/>
        <v>15</v>
      </c>
      <c r="F36">
        <f t="shared" si="11"/>
        <v>20</v>
      </c>
      <c r="G36">
        <f t="shared" si="11"/>
        <v>27</v>
      </c>
      <c r="H36">
        <f t="shared" si="11"/>
        <v>38</v>
      </c>
      <c r="I36">
        <f t="shared" si="11"/>
        <v>66</v>
      </c>
      <c r="J36" t="s">
        <v>46</v>
      </c>
      <c r="K36" t="s">
        <v>47</v>
      </c>
    </row>
    <row r="37" spans="1:14" x14ac:dyDescent="0.2">
      <c r="A37" t="s">
        <v>52</v>
      </c>
      <c r="B37" s="1">
        <f t="shared" ref="B37:I37" si="12">B36*B29*B13*0.000001</f>
        <v>5.9200000000000009E-6</v>
      </c>
      <c r="C37" s="1">
        <f t="shared" si="12"/>
        <v>1.1520000000000002E-5</v>
      </c>
      <c r="D37" s="1">
        <f t="shared" si="12"/>
        <v>1.36E-5</v>
      </c>
      <c r="E37" s="1">
        <f t="shared" si="12"/>
        <v>3.15E-5</v>
      </c>
      <c r="F37" s="1">
        <f t="shared" si="12"/>
        <v>4.4400000000000002E-5</v>
      </c>
      <c r="G37" s="1">
        <f t="shared" si="12"/>
        <v>3.9419999999999999E-5</v>
      </c>
      <c r="H37" s="1">
        <f t="shared" si="12"/>
        <v>5.8520000000000009E-5</v>
      </c>
      <c r="I37" s="1">
        <f t="shared" si="12"/>
        <v>1.0295999999999999E-4</v>
      </c>
      <c r="J37" t="s">
        <v>24</v>
      </c>
      <c r="K37" t="s">
        <v>53</v>
      </c>
    </row>
    <row r="38" spans="1:14" x14ac:dyDescent="0.2">
      <c r="A38" t="s">
        <v>39</v>
      </c>
      <c r="B38" s="1">
        <f>B33/B36</f>
        <v>1.5134308449403472E-2</v>
      </c>
      <c r="C38" s="1">
        <f>C33/C36</f>
        <v>8.4076559232431503E-3</v>
      </c>
      <c r="D38" s="1">
        <f>D33/D36</f>
        <v>7.536806439668059E-3</v>
      </c>
      <c r="E38" s="1">
        <f>E33/E36</f>
        <v>2.47532368361647E-3</v>
      </c>
      <c r="F38" s="1">
        <f>F33/F36</f>
        <v>1.9625780634387729E-3</v>
      </c>
      <c r="G38" s="1">
        <f t="shared" ref="G38:I38" si="13">G33/G36</f>
        <v>1.2129340169659793E-3</v>
      </c>
      <c r="H38" s="1">
        <f t="shared" si="13"/>
        <v>9.2241293983940536E-4</v>
      </c>
      <c r="I38" s="1">
        <f t="shared" si="13"/>
        <v>6.3934266493873742E-4</v>
      </c>
      <c r="J38" t="s">
        <v>36</v>
      </c>
      <c r="K38" t="s">
        <v>68</v>
      </c>
    </row>
    <row r="39" spans="1:14" x14ac:dyDescent="0.2">
      <c r="A39" t="s">
        <v>67</v>
      </c>
      <c r="B39" s="2">
        <f t="shared" ref="B39:I39" si="14">(B4^2)*B38</f>
        <v>1.5134308449403471</v>
      </c>
      <c r="C39" s="2">
        <f t="shared" si="14"/>
        <v>0.84076559232431503</v>
      </c>
      <c r="D39" s="2">
        <f t="shared" si="14"/>
        <v>0.7536806439668059</v>
      </c>
      <c r="E39" s="2">
        <f t="shared" si="14"/>
        <v>0.24753236836164699</v>
      </c>
      <c r="F39" s="2">
        <f t="shared" si="14"/>
        <v>0.19625780634387729</v>
      </c>
      <c r="G39" s="2">
        <f t="shared" si="14"/>
        <v>0.12129340169659793</v>
      </c>
      <c r="H39" s="2">
        <f t="shared" si="14"/>
        <v>9.2241293983940542E-2</v>
      </c>
      <c r="I39" s="2">
        <f t="shared" si="14"/>
        <v>6.3934266493873737E-2</v>
      </c>
      <c r="J39" t="s">
        <v>65</v>
      </c>
      <c r="K39" t="s">
        <v>69</v>
      </c>
    </row>
    <row r="40" spans="1:14" x14ac:dyDescent="0.2">
      <c r="A40" s="3" t="s">
        <v>56</v>
      </c>
    </row>
    <row r="41" spans="1:14" x14ac:dyDescent="0.2">
      <c r="A41" t="s">
        <v>57</v>
      </c>
      <c r="B41" s="2">
        <f t="shared" ref="B41:I41" si="15">1000*B22*B15*(B7/0.1)^B16*(B5/100000)^B17</f>
        <v>0.32870096877722738</v>
      </c>
      <c r="C41" s="2">
        <f t="shared" si="15"/>
        <v>0.2903639935771547</v>
      </c>
      <c r="D41" s="2">
        <f t="shared" si="15"/>
        <v>0.23503620393077371</v>
      </c>
      <c r="E41" s="2">
        <f t="shared" si="15"/>
        <v>0.38457522328309185</v>
      </c>
      <c r="F41" s="2">
        <f t="shared" si="15"/>
        <v>0.40134393834296378</v>
      </c>
      <c r="G41" s="2">
        <f t="shared" si="15"/>
        <v>0.41481578046203788</v>
      </c>
      <c r="H41" s="2">
        <f t="shared" si="15"/>
        <v>0.39639589448923973</v>
      </c>
      <c r="I41" s="2">
        <f t="shared" si="15"/>
        <v>0.35797005449001568</v>
      </c>
      <c r="J41" t="s">
        <v>65</v>
      </c>
      <c r="K41" t="s">
        <v>66</v>
      </c>
    </row>
    <row r="42" spans="1:14" x14ac:dyDescent="0.2">
      <c r="A42" s="3" t="s">
        <v>78</v>
      </c>
      <c r="B42" s="2"/>
      <c r="C42" s="2"/>
      <c r="D42" s="2"/>
      <c r="E42" s="2"/>
      <c r="F42" s="2"/>
      <c r="G42" s="2"/>
      <c r="H42" s="2"/>
      <c r="I42" s="2"/>
    </row>
    <row r="43" spans="1:14" x14ac:dyDescent="0.2">
      <c r="A43" t="s">
        <v>79</v>
      </c>
      <c r="B43" s="1">
        <f>0.00002</f>
        <v>2.0000000000000002E-5</v>
      </c>
      <c r="C43" s="1">
        <f t="shared" ref="C43:I43" si="16">0.00002</f>
        <v>2.0000000000000002E-5</v>
      </c>
      <c r="D43" s="1">
        <f t="shared" si="16"/>
        <v>2.0000000000000002E-5</v>
      </c>
      <c r="E43" s="1">
        <f t="shared" si="16"/>
        <v>2.0000000000000002E-5</v>
      </c>
      <c r="F43" s="1">
        <f t="shared" si="16"/>
        <v>2.0000000000000002E-5</v>
      </c>
      <c r="G43" s="1">
        <f t="shared" si="16"/>
        <v>2.0000000000000002E-5</v>
      </c>
      <c r="H43" s="1">
        <f t="shared" si="16"/>
        <v>2.0000000000000002E-5</v>
      </c>
      <c r="I43" s="1">
        <f t="shared" si="16"/>
        <v>2.0000000000000002E-5</v>
      </c>
    </row>
    <row r="44" spans="1:14" x14ac:dyDescent="0.2">
      <c r="A44" t="s">
        <v>80</v>
      </c>
      <c r="B44" s="2">
        <f>B43*B5</f>
        <v>4</v>
      </c>
      <c r="C44" s="2">
        <f t="shared" ref="C44:I44" si="17">C43*C5</f>
        <v>4</v>
      </c>
      <c r="D44" s="2">
        <f t="shared" si="17"/>
        <v>4</v>
      </c>
      <c r="E44" s="2">
        <f t="shared" si="17"/>
        <v>4</v>
      </c>
      <c r="F44" s="2">
        <f t="shared" si="17"/>
        <v>4</v>
      </c>
      <c r="G44" s="2">
        <f t="shared" si="17"/>
        <v>4</v>
      </c>
      <c r="H44" s="2">
        <f t="shared" si="17"/>
        <v>4</v>
      </c>
      <c r="I44" s="2">
        <f t="shared" si="17"/>
        <v>4</v>
      </c>
    </row>
    <row r="45" spans="1:14" x14ac:dyDescent="0.2">
      <c r="A45" t="s">
        <v>70</v>
      </c>
      <c r="B45" s="2">
        <f>B41+B39+B44</f>
        <v>5.8421318137175744</v>
      </c>
      <c r="C45" s="2">
        <f t="shared" ref="C45:I45" si="18">C41+C39+C44</f>
        <v>5.1311295859014692</v>
      </c>
      <c r="D45" s="2">
        <f t="shared" si="18"/>
        <v>4.9887168478975799</v>
      </c>
      <c r="E45" s="2">
        <f t="shared" si="18"/>
        <v>4.632107591644739</v>
      </c>
      <c r="F45" s="2">
        <f t="shared" si="18"/>
        <v>4.5976017446868411</v>
      </c>
      <c r="G45" s="2">
        <f t="shared" si="18"/>
        <v>4.5361091821586355</v>
      </c>
      <c r="H45" s="2">
        <f t="shared" si="18"/>
        <v>4.4886371884731799</v>
      </c>
      <c r="I45" s="2">
        <f t="shared" si="18"/>
        <v>4.4219043209838897</v>
      </c>
      <c r="J45" t="s">
        <v>65</v>
      </c>
      <c r="K45" t="s">
        <v>128</v>
      </c>
      <c r="N45">
        <f>SUMSQ(B45:I45)</f>
        <v>188.21804143412618</v>
      </c>
    </row>
  </sheetData>
  <pageMargins left="0.75" right="0.75" top="1" bottom="1" header="0.5" footer="0.5"/>
  <pageSetup orientation="portrait" horizontalDpi="4294967292" verticalDpi="429496729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4"/>
  <sheetViews>
    <sheetView tabSelected="1" workbookViewId="0">
      <selection sqref="A1:AI14"/>
    </sheetView>
  </sheetViews>
  <sheetFormatPr baseColWidth="10" defaultRowHeight="16" x14ac:dyDescent="0.2"/>
  <sheetData>
    <row r="1" spans="1:35" ht="17" x14ac:dyDescent="0.2">
      <c r="A1" s="9" t="s">
        <v>130</v>
      </c>
      <c r="B1" s="9">
        <v>1</v>
      </c>
      <c r="C1" s="9">
        <v>2</v>
      </c>
      <c r="D1" s="9">
        <v>3</v>
      </c>
      <c r="E1" s="9">
        <v>4</v>
      </c>
      <c r="F1" s="9">
        <v>5</v>
      </c>
      <c r="G1" s="9">
        <v>6</v>
      </c>
      <c r="H1" s="9">
        <v>7</v>
      </c>
      <c r="I1" s="9">
        <v>8</v>
      </c>
      <c r="J1" s="9">
        <v>9</v>
      </c>
      <c r="K1" s="9">
        <v>10</v>
      </c>
      <c r="L1" s="9">
        <v>11</v>
      </c>
      <c r="M1" s="9">
        <v>12</v>
      </c>
      <c r="N1" s="9">
        <v>13</v>
      </c>
      <c r="O1" s="9">
        <v>14</v>
      </c>
      <c r="P1" s="9">
        <v>15</v>
      </c>
      <c r="Q1" s="9">
        <v>16</v>
      </c>
      <c r="R1" s="9">
        <v>17</v>
      </c>
      <c r="S1" s="9">
        <v>18</v>
      </c>
      <c r="T1" s="9">
        <v>19</v>
      </c>
      <c r="U1" s="9">
        <v>20</v>
      </c>
      <c r="V1" s="9">
        <v>21</v>
      </c>
      <c r="W1" s="9">
        <v>22</v>
      </c>
      <c r="X1" s="9">
        <v>23</v>
      </c>
      <c r="Y1" s="9">
        <v>24</v>
      </c>
      <c r="Z1" s="9">
        <v>25</v>
      </c>
      <c r="AA1" s="9">
        <v>26</v>
      </c>
      <c r="AB1" s="9">
        <v>27</v>
      </c>
      <c r="AC1" s="9">
        <v>28</v>
      </c>
      <c r="AD1" s="9">
        <v>29</v>
      </c>
      <c r="AE1" s="9">
        <v>30</v>
      </c>
      <c r="AF1" s="9">
        <v>31</v>
      </c>
      <c r="AG1" s="9">
        <v>32</v>
      </c>
      <c r="AH1" s="9">
        <v>33</v>
      </c>
      <c r="AI1" s="9">
        <v>34</v>
      </c>
    </row>
    <row r="2" spans="1:35" ht="17" x14ac:dyDescent="0.2">
      <c r="A2" s="9" t="s">
        <v>131</v>
      </c>
      <c r="B2" s="9">
        <v>5.3</v>
      </c>
      <c r="C2" s="9">
        <v>6.3</v>
      </c>
      <c r="D2" s="9">
        <v>8.8000000000000007</v>
      </c>
      <c r="E2" s="9">
        <v>13</v>
      </c>
      <c r="F2" s="9">
        <v>13</v>
      </c>
      <c r="G2" s="9">
        <v>13</v>
      </c>
      <c r="H2" s="9">
        <v>16</v>
      </c>
      <c r="I2" s="9">
        <v>16</v>
      </c>
      <c r="J2" s="9">
        <v>19</v>
      </c>
      <c r="K2" s="9">
        <v>19</v>
      </c>
      <c r="L2" s="9">
        <v>20</v>
      </c>
      <c r="M2" s="9">
        <v>20</v>
      </c>
      <c r="N2" s="9">
        <v>20</v>
      </c>
      <c r="O2" s="9">
        <v>25</v>
      </c>
      <c r="P2" s="9">
        <v>25</v>
      </c>
      <c r="Q2" s="9">
        <v>25</v>
      </c>
      <c r="R2" s="9">
        <v>30</v>
      </c>
      <c r="S2" s="9">
        <v>31</v>
      </c>
      <c r="T2" s="9">
        <v>32</v>
      </c>
      <c r="U2" s="9">
        <v>34</v>
      </c>
      <c r="V2" s="9">
        <v>35</v>
      </c>
      <c r="W2" s="9">
        <v>36</v>
      </c>
      <c r="X2" s="9">
        <v>41</v>
      </c>
      <c r="Y2" s="9">
        <v>42</v>
      </c>
      <c r="Z2" s="9">
        <v>42</v>
      </c>
      <c r="AA2" s="9">
        <v>42</v>
      </c>
      <c r="AB2" s="9">
        <v>47</v>
      </c>
      <c r="AC2" s="9">
        <v>55</v>
      </c>
      <c r="AD2" s="9">
        <v>55</v>
      </c>
      <c r="AE2" s="9">
        <v>56</v>
      </c>
      <c r="AF2" s="9">
        <v>65</v>
      </c>
      <c r="AG2" s="9">
        <v>71</v>
      </c>
      <c r="AH2" s="9">
        <v>80</v>
      </c>
      <c r="AI2" s="9">
        <v>100</v>
      </c>
    </row>
    <row r="3" spans="1:35" ht="17" x14ac:dyDescent="0.2">
      <c r="A3" s="9" t="s">
        <v>132</v>
      </c>
      <c r="B3" s="9">
        <v>2.7</v>
      </c>
      <c r="C3" s="9">
        <v>2.9</v>
      </c>
      <c r="D3" s="9">
        <v>4.0999999999999996</v>
      </c>
      <c r="E3" s="9">
        <v>6</v>
      </c>
      <c r="F3" s="9">
        <v>6</v>
      </c>
      <c r="G3" s="9">
        <v>7</v>
      </c>
      <c r="H3" s="9">
        <v>8</v>
      </c>
      <c r="I3" s="9">
        <v>12</v>
      </c>
      <c r="J3" s="9">
        <v>8</v>
      </c>
      <c r="K3" s="9">
        <v>8</v>
      </c>
      <c r="L3" s="9">
        <v>10</v>
      </c>
      <c r="M3" s="9">
        <v>10</v>
      </c>
      <c r="N3" s="9">
        <v>14</v>
      </c>
      <c r="O3" s="9">
        <v>10</v>
      </c>
      <c r="P3" s="9">
        <v>13</v>
      </c>
      <c r="Q3" s="9">
        <v>13</v>
      </c>
      <c r="R3" s="9">
        <v>15</v>
      </c>
      <c r="S3" s="9">
        <v>13</v>
      </c>
      <c r="T3" s="9">
        <v>16</v>
      </c>
      <c r="U3" s="9">
        <v>14</v>
      </c>
      <c r="V3" s="9">
        <v>18</v>
      </c>
      <c r="W3" s="9">
        <v>21</v>
      </c>
      <c r="X3" s="9">
        <v>17</v>
      </c>
      <c r="Y3" s="9">
        <v>21</v>
      </c>
      <c r="Z3" s="9">
        <v>21</v>
      </c>
      <c r="AA3" s="9">
        <v>33</v>
      </c>
      <c r="AB3" s="9">
        <v>20</v>
      </c>
      <c r="AC3" s="9">
        <v>28</v>
      </c>
      <c r="AD3" s="9">
        <v>28</v>
      </c>
      <c r="AE3" s="9">
        <v>24</v>
      </c>
      <c r="AF3" s="9">
        <v>32</v>
      </c>
      <c r="AG3" s="9">
        <v>33</v>
      </c>
      <c r="AH3" s="9">
        <v>38</v>
      </c>
      <c r="AI3" s="9">
        <v>60</v>
      </c>
    </row>
    <row r="4" spans="1:35" ht="17" x14ac:dyDescent="0.2">
      <c r="A4" s="9" t="s">
        <v>133</v>
      </c>
      <c r="B4" s="9">
        <v>2</v>
      </c>
      <c r="C4" s="9">
        <v>2</v>
      </c>
      <c r="D4" s="9">
        <v>2</v>
      </c>
      <c r="E4" s="9">
        <v>3</v>
      </c>
      <c r="F4" s="9">
        <v>6</v>
      </c>
      <c r="G4" s="9">
        <v>4</v>
      </c>
      <c r="H4" s="9">
        <v>5</v>
      </c>
      <c r="I4" s="9">
        <v>5</v>
      </c>
      <c r="J4" s="9">
        <v>5</v>
      </c>
      <c r="K4" s="9">
        <v>9</v>
      </c>
      <c r="L4" s="9">
        <v>5</v>
      </c>
      <c r="M4" s="9">
        <v>6</v>
      </c>
      <c r="N4" s="9">
        <v>5</v>
      </c>
      <c r="O4" s="9">
        <v>6</v>
      </c>
      <c r="P4" s="9">
        <v>7</v>
      </c>
      <c r="Q4" s="9">
        <v>11</v>
      </c>
      <c r="R4" s="9">
        <v>7</v>
      </c>
      <c r="S4" s="9">
        <v>9</v>
      </c>
      <c r="T4" s="9">
        <v>9</v>
      </c>
      <c r="U4" s="9">
        <v>9</v>
      </c>
      <c r="V4" s="9">
        <v>10</v>
      </c>
      <c r="W4" s="9">
        <v>12</v>
      </c>
      <c r="X4" s="9">
        <v>12</v>
      </c>
      <c r="Y4" s="9">
        <v>15</v>
      </c>
      <c r="Z4" s="9">
        <v>20</v>
      </c>
      <c r="AA4" s="9">
        <v>20</v>
      </c>
      <c r="AB4" s="9">
        <v>16</v>
      </c>
      <c r="AC4" s="9">
        <v>21</v>
      </c>
      <c r="AD4" s="9">
        <v>25</v>
      </c>
      <c r="AE4" s="9">
        <v>19</v>
      </c>
      <c r="AF4" s="9">
        <v>27</v>
      </c>
      <c r="AG4" s="9">
        <v>32</v>
      </c>
      <c r="AH4" s="9">
        <v>20</v>
      </c>
      <c r="AI4" s="9">
        <v>28</v>
      </c>
    </row>
    <row r="5" spans="1:35" ht="17" x14ac:dyDescent="0.2">
      <c r="A5" s="9" t="s">
        <v>134</v>
      </c>
      <c r="B5" s="9">
        <v>33.299999999999997</v>
      </c>
      <c r="C5" s="9">
        <v>40.6</v>
      </c>
      <c r="D5" s="9">
        <v>78</v>
      </c>
      <c r="E5" s="9">
        <v>281</v>
      </c>
      <c r="F5" s="9">
        <v>559</v>
      </c>
      <c r="G5" s="9">
        <v>369</v>
      </c>
      <c r="H5" s="9">
        <v>750</v>
      </c>
      <c r="I5" s="9">
        <v>1070</v>
      </c>
      <c r="J5" s="9">
        <v>900</v>
      </c>
      <c r="K5" s="9">
        <v>1650</v>
      </c>
      <c r="L5" s="9">
        <v>1340</v>
      </c>
      <c r="M5" s="9">
        <v>1490</v>
      </c>
      <c r="N5" s="9">
        <v>1513</v>
      </c>
      <c r="O5" s="9">
        <v>1930</v>
      </c>
      <c r="P5" s="9">
        <v>2990</v>
      </c>
      <c r="Q5" s="9">
        <v>4500</v>
      </c>
      <c r="R5" s="9">
        <v>4000</v>
      </c>
      <c r="S5" s="9">
        <v>5150</v>
      </c>
      <c r="T5" s="9">
        <v>6180</v>
      </c>
      <c r="U5" s="9">
        <v>5590</v>
      </c>
      <c r="V5" s="9">
        <v>8070</v>
      </c>
      <c r="W5" s="9">
        <v>12160</v>
      </c>
      <c r="X5" s="9">
        <v>11500</v>
      </c>
      <c r="Y5" s="9">
        <v>17300</v>
      </c>
      <c r="Z5" s="9">
        <v>22700</v>
      </c>
      <c r="AA5" s="9">
        <v>34200</v>
      </c>
      <c r="AB5" s="9">
        <v>20800</v>
      </c>
      <c r="AC5" s="9">
        <v>44000</v>
      </c>
      <c r="AD5" s="9">
        <v>52000</v>
      </c>
      <c r="AE5" s="9">
        <v>36000</v>
      </c>
      <c r="AF5" s="9">
        <v>79000</v>
      </c>
      <c r="AG5" s="9">
        <v>102000</v>
      </c>
      <c r="AH5" s="9">
        <v>72300</v>
      </c>
      <c r="AI5" s="9">
        <v>202000</v>
      </c>
    </row>
    <row r="6" spans="1:35" ht="17" x14ac:dyDescent="0.2">
      <c r="A6" s="9" t="s">
        <v>135</v>
      </c>
      <c r="B6" s="9">
        <v>2.66</v>
      </c>
      <c r="C6" s="9">
        <v>3.3</v>
      </c>
      <c r="D6" s="9">
        <v>5</v>
      </c>
      <c r="E6" s="9">
        <v>10.1</v>
      </c>
      <c r="F6" s="9">
        <v>20.2</v>
      </c>
      <c r="G6" s="9">
        <v>12.4</v>
      </c>
      <c r="H6" s="9">
        <v>20.100000000000001</v>
      </c>
      <c r="I6" s="9">
        <v>19.399999999999999</v>
      </c>
      <c r="J6" s="9">
        <v>22.6</v>
      </c>
      <c r="K6" s="9">
        <v>41.3</v>
      </c>
      <c r="L6" s="9">
        <v>31.2</v>
      </c>
      <c r="M6" s="9">
        <v>32</v>
      </c>
      <c r="N6" s="9">
        <v>24.4</v>
      </c>
      <c r="O6" s="9">
        <v>37</v>
      </c>
      <c r="P6" s="9">
        <v>52</v>
      </c>
      <c r="Q6" s="9">
        <v>78.400000000000006</v>
      </c>
      <c r="R6" s="9">
        <v>60</v>
      </c>
      <c r="S6" s="9">
        <v>83.2</v>
      </c>
      <c r="T6" s="9">
        <v>83</v>
      </c>
      <c r="U6" s="9">
        <v>80.7</v>
      </c>
      <c r="V6" s="9">
        <v>100</v>
      </c>
      <c r="W6" s="9">
        <v>126</v>
      </c>
      <c r="X6" s="9">
        <v>149</v>
      </c>
      <c r="Y6" s="9">
        <v>178</v>
      </c>
      <c r="Z6" s="9">
        <v>233</v>
      </c>
      <c r="AA6" s="9">
        <v>236</v>
      </c>
      <c r="AB6" s="9">
        <v>234</v>
      </c>
      <c r="AC6" s="9">
        <v>353</v>
      </c>
      <c r="AD6" s="9">
        <v>420</v>
      </c>
      <c r="AE6" s="9">
        <v>337</v>
      </c>
      <c r="AF6" s="9">
        <v>540</v>
      </c>
      <c r="AG6" s="9">
        <v>683</v>
      </c>
      <c r="AH6" s="9">
        <v>392</v>
      </c>
      <c r="AI6" s="9">
        <v>738</v>
      </c>
    </row>
    <row r="7" spans="1:35" ht="17" x14ac:dyDescent="0.2">
      <c r="A7" s="9" t="s">
        <v>136</v>
      </c>
      <c r="B7" s="9">
        <v>0.08</v>
      </c>
      <c r="C7" s="9">
        <v>0.12</v>
      </c>
      <c r="D7" s="9">
        <v>0.25</v>
      </c>
      <c r="E7" s="9">
        <v>0.7</v>
      </c>
      <c r="F7" s="9">
        <v>1.4</v>
      </c>
      <c r="G7" s="9">
        <v>0.9</v>
      </c>
      <c r="H7" s="9">
        <v>2</v>
      </c>
      <c r="I7" s="9">
        <v>2.6</v>
      </c>
      <c r="J7" s="9">
        <v>2.2999999999999998</v>
      </c>
      <c r="K7" s="9">
        <v>4</v>
      </c>
      <c r="L7" s="9">
        <v>4</v>
      </c>
      <c r="M7" s="9">
        <v>3.7</v>
      </c>
      <c r="N7" s="9">
        <v>4.2</v>
      </c>
      <c r="O7" s="9">
        <v>4.8</v>
      </c>
      <c r="P7" s="9">
        <v>8</v>
      </c>
      <c r="Q7" s="9">
        <v>11</v>
      </c>
      <c r="R7" s="9">
        <v>11</v>
      </c>
      <c r="S7" s="9">
        <v>13</v>
      </c>
      <c r="T7" s="9">
        <v>16</v>
      </c>
      <c r="U7" s="9">
        <v>14</v>
      </c>
      <c r="V7" s="9">
        <v>15</v>
      </c>
      <c r="W7" s="9">
        <v>31</v>
      </c>
      <c r="X7" s="9">
        <v>30</v>
      </c>
      <c r="Y7" s="9">
        <v>44</v>
      </c>
      <c r="Z7" s="9">
        <v>56</v>
      </c>
      <c r="AA7" s="9">
        <v>82</v>
      </c>
      <c r="AB7" s="9">
        <v>53</v>
      </c>
      <c r="AC7" s="9">
        <v>108</v>
      </c>
      <c r="AD7" s="9">
        <v>130</v>
      </c>
      <c r="AE7" s="9">
        <v>90</v>
      </c>
      <c r="AF7" s="9">
        <v>205</v>
      </c>
      <c r="AG7" s="9">
        <v>260</v>
      </c>
      <c r="AH7" s="9">
        <v>180</v>
      </c>
      <c r="AI7" s="9">
        <v>493</v>
      </c>
    </row>
    <row r="8" spans="1:35" ht="17" x14ac:dyDescent="0.2">
      <c r="A8" s="9" t="s">
        <v>137</v>
      </c>
      <c r="B8" s="9">
        <v>1.4</v>
      </c>
      <c r="C8" s="9">
        <v>1.4</v>
      </c>
      <c r="D8" s="9">
        <v>1.9</v>
      </c>
      <c r="E8" s="9">
        <v>3.2</v>
      </c>
      <c r="F8" s="9">
        <v>3.2</v>
      </c>
      <c r="G8" s="9">
        <v>3.7</v>
      </c>
      <c r="H8" s="9">
        <v>4.7</v>
      </c>
      <c r="I8" s="9">
        <v>4</v>
      </c>
      <c r="J8" s="9">
        <v>4.7</v>
      </c>
      <c r="K8" s="9">
        <v>4.75</v>
      </c>
      <c r="L8" s="9">
        <v>5.2</v>
      </c>
      <c r="M8" s="9">
        <v>5.9</v>
      </c>
      <c r="N8" s="9">
        <v>4.55</v>
      </c>
      <c r="O8" s="9">
        <v>6.35</v>
      </c>
      <c r="P8" s="9">
        <v>7.5</v>
      </c>
      <c r="Q8" s="9">
        <v>7.5</v>
      </c>
      <c r="R8" s="9">
        <v>7.2</v>
      </c>
      <c r="S8" s="9">
        <v>9.4</v>
      </c>
      <c r="T8" s="9">
        <v>9.5</v>
      </c>
      <c r="U8" s="9">
        <v>9.3000000000000007</v>
      </c>
      <c r="V8" s="9">
        <v>10</v>
      </c>
      <c r="W8" s="9">
        <v>10.199999999999999</v>
      </c>
      <c r="X8" s="9">
        <v>12.45</v>
      </c>
      <c r="Y8" s="9">
        <v>12.2</v>
      </c>
      <c r="Z8" s="9">
        <v>12.2</v>
      </c>
      <c r="AA8" s="9">
        <v>12.2</v>
      </c>
      <c r="AB8" s="9">
        <v>15.6</v>
      </c>
      <c r="AC8" s="9">
        <v>17.2</v>
      </c>
      <c r="AD8" s="9">
        <v>17.2</v>
      </c>
      <c r="AE8" s="9">
        <v>18.8</v>
      </c>
      <c r="AF8" s="9">
        <v>20</v>
      </c>
      <c r="AG8" s="9">
        <v>22</v>
      </c>
      <c r="AH8" s="9">
        <v>19.8</v>
      </c>
      <c r="AI8" s="9">
        <v>27.5</v>
      </c>
    </row>
    <row r="9" spans="1:35" ht="17" x14ac:dyDescent="0.2">
      <c r="A9" s="9" t="s">
        <v>138</v>
      </c>
      <c r="B9" s="9">
        <v>3.8</v>
      </c>
      <c r="C9" s="9">
        <v>3.6</v>
      </c>
      <c r="D9" s="9">
        <v>5.2</v>
      </c>
      <c r="E9" s="9">
        <v>9.5</v>
      </c>
      <c r="F9" s="9">
        <v>9.5</v>
      </c>
      <c r="G9" s="9">
        <v>8.9</v>
      </c>
      <c r="H9" s="9">
        <v>11.3</v>
      </c>
      <c r="I9" s="9">
        <v>12</v>
      </c>
      <c r="J9" s="9">
        <v>14.3</v>
      </c>
      <c r="K9" s="9">
        <v>14.33</v>
      </c>
      <c r="L9" s="9">
        <v>12.8</v>
      </c>
      <c r="M9" s="9">
        <v>14.1</v>
      </c>
      <c r="N9" s="9">
        <v>14.3</v>
      </c>
      <c r="O9" s="9">
        <v>18.8</v>
      </c>
      <c r="P9" s="9">
        <v>17.5</v>
      </c>
      <c r="Q9" s="9">
        <v>17.5</v>
      </c>
      <c r="R9" s="9">
        <v>19.5</v>
      </c>
      <c r="S9" s="9">
        <v>21.9</v>
      </c>
      <c r="T9" s="9">
        <v>22.7</v>
      </c>
      <c r="U9" s="9">
        <v>25.5</v>
      </c>
      <c r="V9" s="9">
        <v>24.5</v>
      </c>
      <c r="W9" s="9">
        <v>24.5</v>
      </c>
      <c r="X9" s="9">
        <v>28.6</v>
      </c>
      <c r="Y9" s="9">
        <v>29.5</v>
      </c>
      <c r="Z9" s="9">
        <v>29.5</v>
      </c>
      <c r="AA9" s="9">
        <v>29.5</v>
      </c>
      <c r="AB9" s="9">
        <v>32.4</v>
      </c>
      <c r="AC9" s="9">
        <v>37.5</v>
      </c>
      <c r="AD9" s="9">
        <v>37.5</v>
      </c>
      <c r="AE9" s="9">
        <v>38.1</v>
      </c>
      <c r="AF9" s="9">
        <v>44.2</v>
      </c>
      <c r="AG9" s="9">
        <v>48</v>
      </c>
      <c r="AH9" s="9">
        <v>59.1</v>
      </c>
      <c r="AI9" s="9">
        <v>73.150000000000006</v>
      </c>
    </row>
    <row r="10" spans="1:35" ht="17" x14ac:dyDescent="0.2">
      <c r="A10" s="9" t="s">
        <v>139</v>
      </c>
      <c r="B10" s="9">
        <v>1.9</v>
      </c>
      <c r="C10" s="9">
        <v>1.85</v>
      </c>
      <c r="D10" s="9">
        <v>2.0299999999999998</v>
      </c>
      <c r="E10" s="9">
        <v>4.0999999999999996</v>
      </c>
      <c r="F10" s="9">
        <v>4.0999999999999996</v>
      </c>
      <c r="G10" s="9">
        <v>4.5</v>
      </c>
      <c r="H10" s="9">
        <v>5.7</v>
      </c>
      <c r="I10" s="9">
        <v>10.25</v>
      </c>
      <c r="J10" s="9">
        <v>5.7</v>
      </c>
      <c r="K10" s="9">
        <v>5.69</v>
      </c>
      <c r="L10" s="9">
        <v>6.3</v>
      </c>
      <c r="M10" s="9">
        <v>7</v>
      </c>
      <c r="N10" s="9">
        <v>11.15</v>
      </c>
      <c r="O10" s="9">
        <v>6.4</v>
      </c>
      <c r="P10" s="9">
        <v>8.6999999999999993</v>
      </c>
      <c r="Q10" s="9">
        <v>8.6999999999999993</v>
      </c>
      <c r="R10" s="9">
        <v>9.6999999999999993</v>
      </c>
      <c r="S10" s="9">
        <v>8.6</v>
      </c>
      <c r="T10" s="9">
        <v>11.2</v>
      </c>
      <c r="U10" s="9">
        <v>9.8000000000000007</v>
      </c>
      <c r="V10" s="9">
        <v>12.5</v>
      </c>
      <c r="W10" s="9">
        <v>15.75</v>
      </c>
      <c r="X10" s="9">
        <v>10.4</v>
      </c>
      <c r="Y10" s="9">
        <v>14.8</v>
      </c>
      <c r="Z10" s="9">
        <v>14.8</v>
      </c>
      <c r="AA10" s="9">
        <v>26</v>
      </c>
      <c r="AB10" s="9">
        <v>12.1</v>
      </c>
      <c r="AC10" s="9">
        <v>18.5</v>
      </c>
      <c r="AD10" s="9">
        <v>18.5</v>
      </c>
      <c r="AE10" s="9">
        <v>14.6</v>
      </c>
      <c r="AF10" s="9">
        <v>22.2</v>
      </c>
      <c r="AG10" s="9">
        <v>21.9</v>
      </c>
      <c r="AH10" s="9">
        <v>28.2</v>
      </c>
      <c r="AI10" s="9">
        <v>46.85</v>
      </c>
    </row>
    <row r="11" spans="1:35" ht="17" x14ac:dyDescent="0.2">
      <c r="A11" s="9" t="s">
        <v>140</v>
      </c>
      <c r="B11" s="9">
        <v>12.5</v>
      </c>
      <c r="C11" s="9">
        <v>12.2</v>
      </c>
      <c r="D11" s="9">
        <v>15.6</v>
      </c>
      <c r="E11" s="9">
        <v>27.8</v>
      </c>
      <c r="F11" s="9">
        <v>27.7</v>
      </c>
      <c r="G11" s="9">
        <v>29.7</v>
      </c>
      <c r="H11" s="9">
        <v>37.6</v>
      </c>
      <c r="I11" s="9">
        <v>55.3</v>
      </c>
      <c r="J11" s="9">
        <v>39.9</v>
      </c>
      <c r="K11" s="9">
        <v>39.9</v>
      </c>
      <c r="L11" s="9">
        <v>42.8</v>
      </c>
      <c r="M11" s="9">
        <v>46</v>
      </c>
      <c r="N11" s="9">
        <v>62</v>
      </c>
      <c r="O11" s="9">
        <v>49</v>
      </c>
      <c r="P11" s="9">
        <v>58</v>
      </c>
      <c r="Q11" s="9">
        <v>57.5</v>
      </c>
      <c r="R11" s="9">
        <v>67</v>
      </c>
      <c r="S11" s="9">
        <v>61.9</v>
      </c>
      <c r="T11" s="9">
        <v>74</v>
      </c>
      <c r="U11" s="9">
        <v>69.3</v>
      </c>
      <c r="V11" s="9">
        <v>80.7</v>
      </c>
      <c r="W11" s="9">
        <v>96</v>
      </c>
      <c r="X11" s="9">
        <v>77</v>
      </c>
      <c r="Y11" s="9">
        <v>97</v>
      </c>
      <c r="Z11" s="9">
        <v>97</v>
      </c>
      <c r="AA11" s="9">
        <v>145</v>
      </c>
      <c r="AB11" s="9">
        <v>88.9</v>
      </c>
      <c r="AC11" s="9">
        <v>124</v>
      </c>
      <c r="AD11" s="9">
        <v>123</v>
      </c>
      <c r="AE11" s="9">
        <v>107</v>
      </c>
      <c r="AF11" s="9">
        <v>147</v>
      </c>
      <c r="AG11" s="9">
        <v>149</v>
      </c>
      <c r="AH11" s="9">
        <v>184</v>
      </c>
      <c r="AI11" s="9">
        <v>274</v>
      </c>
    </row>
    <row r="12" spans="1:35" ht="17" x14ac:dyDescent="0.2">
      <c r="A12" s="9" t="s">
        <v>141</v>
      </c>
      <c r="B12" s="9">
        <v>2.6599999999999999E-6</v>
      </c>
      <c r="C12" s="9">
        <v>3.3000000000000002E-6</v>
      </c>
      <c r="D12" s="9">
        <v>5.0000000000000004E-6</v>
      </c>
      <c r="E12" s="9">
        <v>1.01E-5</v>
      </c>
      <c r="F12" s="9">
        <v>2.02E-5</v>
      </c>
      <c r="G12" s="9">
        <v>1.24E-5</v>
      </c>
      <c r="H12" s="9">
        <v>2.0100000000000001E-5</v>
      </c>
      <c r="I12" s="9">
        <v>1.9400000000000001E-5</v>
      </c>
      <c r="J12" s="9">
        <v>2.26E-5</v>
      </c>
      <c r="K12" s="9">
        <v>4.1300000000000001E-5</v>
      </c>
      <c r="L12" s="9">
        <v>3.1199999999999999E-5</v>
      </c>
      <c r="M12" s="9">
        <v>3.1999999999999999E-5</v>
      </c>
      <c r="N12" s="9">
        <v>2.44E-5</v>
      </c>
      <c r="O12" s="9">
        <v>3.6999999999999998E-5</v>
      </c>
      <c r="P12" s="9">
        <v>5.1999999999999997E-5</v>
      </c>
      <c r="Q12" s="9">
        <v>7.8399999999999995E-5</v>
      </c>
      <c r="R12" s="9">
        <v>6.0000000000000002E-5</v>
      </c>
      <c r="S12" s="9">
        <v>8.3200000000000003E-5</v>
      </c>
      <c r="T12" s="9">
        <v>8.2999999999999998E-5</v>
      </c>
      <c r="U12" s="9">
        <v>8.0699999999999996E-5</v>
      </c>
      <c r="V12" s="9">
        <v>1E-4</v>
      </c>
      <c r="W12" s="9">
        <v>1.26E-4</v>
      </c>
      <c r="X12" s="9">
        <v>1.4899999999999999E-4</v>
      </c>
      <c r="Y12" s="9">
        <v>1.7799999999999999E-4</v>
      </c>
      <c r="Z12" s="9">
        <v>2.33E-4</v>
      </c>
      <c r="AA12" s="9">
        <v>2.3599999999999999E-4</v>
      </c>
      <c r="AB12" s="9">
        <v>2.34E-4</v>
      </c>
      <c r="AC12" s="9">
        <v>3.5300000000000002E-4</v>
      </c>
      <c r="AD12" s="9">
        <v>4.2000000000000002E-4</v>
      </c>
      <c r="AE12" s="9">
        <v>3.3700000000000001E-4</v>
      </c>
      <c r="AF12" s="9">
        <v>5.4000000000000001E-4</v>
      </c>
      <c r="AG12" s="9">
        <v>6.8300000000000001E-4</v>
      </c>
      <c r="AH12" s="9">
        <v>3.9199999999999999E-4</v>
      </c>
      <c r="AI12" s="9">
        <v>7.3800000000000005E-4</v>
      </c>
    </row>
    <row r="13" spans="1:35" ht="17" x14ac:dyDescent="0.2">
      <c r="A13" s="9" t="s">
        <v>142</v>
      </c>
      <c r="B13" s="10">
        <v>3.33E-8</v>
      </c>
      <c r="C13" s="10">
        <v>4.06E-8</v>
      </c>
      <c r="D13" s="9">
        <v>7.7999999999999997E-8</v>
      </c>
      <c r="E13" s="9">
        <v>2.8099999999999999E-7</v>
      </c>
      <c r="F13" s="9">
        <v>5.5899999999999996E-7</v>
      </c>
      <c r="G13" s="9">
        <v>3.6899999999999998E-7</v>
      </c>
      <c r="H13" s="9">
        <v>7.5000000000000002E-7</v>
      </c>
      <c r="I13" s="9">
        <v>1.0699999999999999E-6</v>
      </c>
      <c r="J13" s="9">
        <v>8.9999999999999996E-7</v>
      </c>
      <c r="K13" s="9">
        <v>1.6500000000000001E-6</v>
      </c>
      <c r="L13" s="9">
        <v>1.3400000000000001E-6</v>
      </c>
      <c r="M13" s="9">
        <v>1.4899999999999999E-6</v>
      </c>
      <c r="N13" s="9">
        <v>1.513E-6</v>
      </c>
      <c r="O13" s="9">
        <v>1.9300000000000002E-6</v>
      </c>
      <c r="P13" s="9">
        <v>2.9900000000000002E-6</v>
      </c>
      <c r="Q13" s="9">
        <v>4.5000000000000001E-6</v>
      </c>
      <c r="R13" s="9">
        <v>3.9999999999999998E-6</v>
      </c>
      <c r="S13" s="9">
        <v>5.1499999999999998E-6</v>
      </c>
      <c r="T13" s="9">
        <v>6.1800000000000001E-6</v>
      </c>
      <c r="U13" s="9">
        <v>5.5899999999999998E-6</v>
      </c>
      <c r="V13" s="9">
        <v>8.0700000000000007E-6</v>
      </c>
      <c r="W13" s="9">
        <v>1.216E-5</v>
      </c>
      <c r="X13" s="9">
        <v>1.15E-5</v>
      </c>
      <c r="Y13" s="9">
        <v>1.73E-5</v>
      </c>
      <c r="Z13" s="9">
        <v>2.27E-5</v>
      </c>
      <c r="AA13" s="9">
        <v>3.4199999999999998E-5</v>
      </c>
      <c r="AB13" s="9">
        <v>2.0800000000000001E-5</v>
      </c>
      <c r="AC13" s="9">
        <v>4.3999999999999999E-5</v>
      </c>
      <c r="AD13" s="9">
        <v>5.1999999999999997E-5</v>
      </c>
      <c r="AE13" s="9">
        <v>3.6000000000000001E-5</v>
      </c>
      <c r="AF13" s="9">
        <v>7.8999999999999996E-5</v>
      </c>
      <c r="AG13" s="9">
        <v>1.02E-4</v>
      </c>
      <c r="AH13" s="9">
        <v>7.2299999999999996E-5</v>
      </c>
      <c r="AI13" s="9">
        <v>2.02E-4</v>
      </c>
    </row>
    <row r="14" spans="1:35" ht="17" x14ac:dyDescent="0.2">
      <c r="A14" s="9" t="s">
        <v>143</v>
      </c>
      <c r="B14" s="9">
        <v>1.2500000000000001E-2</v>
      </c>
      <c r="C14" s="9">
        <v>1.2200000000000001E-2</v>
      </c>
      <c r="D14" s="9">
        <v>1.5599999999999999E-2</v>
      </c>
      <c r="E14" s="9">
        <v>2.7799999999999998E-2</v>
      </c>
      <c r="F14" s="9">
        <v>2.7699999999999999E-2</v>
      </c>
      <c r="G14" s="9">
        <v>2.9700000000000001E-2</v>
      </c>
      <c r="H14" s="9">
        <v>3.7600000000000001E-2</v>
      </c>
      <c r="I14" s="9">
        <v>5.5300000000000002E-2</v>
      </c>
      <c r="J14" s="9">
        <v>3.9899999999999998E-2</v>
      </c>
      <c r="K14" s="9">
        <v>3.9899999999999998E-2</v>
      </c>
      <c r="L14" s="9">
        <v>4.2799999999999998E-2</v>
      </c>
      <c r="M14" s="9">
        <v>4.5999999999999999E-2</v>
      </c>
      <c r="N14" s="9">
        <v>6.2E-2</v>
      </c>
      <c r="O14" s="9">
        <v>4.9000000000000002E-2</v>
      </c>
      <c r="P14" s="9">
        <v>5.8000000000000003E-2</v>
      </c>
      <c r="Q14" s="9">
        <v>5.7500000000000002E-2</v>
      </c>
      <c r="R14" s="9">
        <v>6.7000000000000004E-2</v>
      </c>
      <c r="S14" s="9">
        <v>6.1899999999999997E-2</v>
      </c>
      <c r="T14" s="9">
        <v>7.3999999999999996E-2</v>
      </c>
      <c r="U14" s="9">
        <v>6.93E-2</v>
      </c>
      <c r="V14" s="9">
        <v>8.0699999999999994E-2</v>
      </c>
      <c r="W14" s="9">
        <v>9.6000000000000002E-2</v>
      </c>
      <c r="X14" s="9">
        <v>7.6999999999999999E-2</v>
      </c>
      <c r="Y14" s="9">
        <v>9.7000000000000003E-2</v>
      </c>
      <c r="Z14" s="9">
        <v>9.7000000000000003E-2</v>
      </c>
      <c r="AA14" s="9">
        <v>0.14499999999999999</v>
      </c>
      <c r="AB14" s="9">
        <v>8.8900000000000007E-2</v>
      </c>
      <c r="AC14" s="9">
        <v>0.124</v>
      </c>
      <c r="AD14" s="9">
        <v>0.123</v>
      </c>
      <c r="AE14" s="9">
        <v>0.107</v>
      </c>
      <c r="AF14" s="9">
        <v>0.14699999999999999</v>
      </c>
      <c r="AG14" s="9">
        <v>0.14899999999999999</v>
      </c>
      <c r="AH14" s="9">
        <v>0.184</v>
      </c>
      <c r="AI14" s="9">
        <v>0.27400000000000002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workbookViewId="0">
      <selection sqref="A1:D49"/>
    </sheetView>
  </sheetViews>
  <sheetFormatPr baseColWidth="10" defaultRowHeight="16" x14ac:dyDescent="0.2"/>
  <cols>
    <col min="1" max="1" width="8.33203125" customWidth="1"/>
    <col min="2" max="2" width="9.83203125" bestFit="1" customWidth="1"/>
    <col min="3" max="3" width="8.33203125" bestFit="1" customWidth="1"/>
    <col min="4" max="4" width="29" bestFit="1" customWidth="1"/>
  </cols>
  <sheetData>
    <row r="1" spans="1:4" x14ac:dyDescent="0.2">
      <c r="A1" s="3" t="s">
        <v>116</v>
      </c>
    </row>
    <row r="2" spans="1:4" x14ac:dyDescent="0.2">
      <c r="A2" s="3" t="s">
        <v>21</v>
      </c>
    </row>
    <row r="3" spans="1:4" x14ac:dyDescent="0.2">
      <c r="A3" s="5" t="s">
        <v>81</v>
      </c>
      <c r="B3">
        <v>2</v>
      </c>
      <c r="D3" t="s">
        <v>82</v>
      </c>
    </row>
    <row r="4" spans="1:4" x14ac:dyDescent="0.2">
      <c r="A4" s="5" t="s">
        <v>83</v>
      </c>
      <c r="B4">
        <v>170</v>
      </c>
      <c r="C4" t="s">
        <v>84</v>
      </c>
      <c r="D4" t="s">
        <v>86</v>
      </c>
    </row>
    <row r="5" spans="1:4" x14ac:dyDescent="0.2">
      <c r="A5" s="5" t="s">
        <v>87</v>
      </c>
      <c r="B5" s="1">
        <v>5.0000000000000004E-6</v>
      </c>
      <c r="C5" t="s">
        <v>88</v>
      </c>
      <c r="D5" t="s">
        <v>89</v>
      </c>
    </row>
    <row r="6" spans="1:4" x14ac:dyDescent="0.2">
      <c r="A6" t="s">
        <v>3</v>
      </c>
      <c r="B6">
        <v>10</v>
      </c>
      <c r="C6" t="s">
        <v>85</v>
      </c>
      <c r="D6" t="s">
        <v>6</v>
      </c>
    </row>
    <row r="7" spans="1:4" x14ac:dyDescent="0.2">
      <c r="A7" t="s">
        <v>7</v>
      </c>
      <c r="B7">
        <v>0.05</v>
      </c>
      <c r="C7" t="s">
        <v>8</v>
      </c>
      <c r="D7" t="s">
        <v>9</v>
      </c>
    </row>
    <row r="8" spans="1:4" x14ac:dyDescent="0.2">
      <c r="A8" t="s">
        <v>121</v>
      </c>
      <c r="B8">
        <f>2*B7</f>
        <v>0.1</v>
      </c>
      <c r="C8" t="s">
        <v>8</v>
      </c>
      <c r="D8" t="s">
        <v>129</v>
      </c>
    </row>
    <row r="9" spans="1:4" x14ac:dyDescent="0.2">
      <c r="A9" t="s">
        <v>49</v>
      </c>
      <c r="B9" s="1">
        <v>100000</v>
      </c>
      <c r="C9" t="s">
        <v>50</v>
      </c>
      <c r="D9" t="s">
        <v>51</v>
      </c>
    </row>
    <row r="10" spans="1:4" x14ac:dyDescent="0.2">
      <c r="A10" s="3" t="s">
        <v>22</v>
      </c>
    </row>
    <row r="11" spans="1:4" x14ac:dyDescent="0.2">
      <c r="A11" t="s">
        <v>10</v>
      </c>
      <c r="B11" s="8">
        <f>4*ATAN(1)</f>
        <v>3.1415926535897931</v>
      </c>
    </row>
    <row r="12" spans="1:4" x14ac:dyDescent="0.2">
      <c r="A12" t="s">
        <v>11</v>
      </c>
      <c r="B12" s="1">
        <f>4*3.14159*0.0000001</f>
        <v>1.2566359999999999E-6</v>
      </c>
    </row>
    <row r="13" spans="1:4" x14ac:dyDescent="0.2">
      <c r="A13" t="s">
        <v>39</v>
      </c>
      <c r="B13" s="1">
        <v>8.4000000000000005E-2</v>
      </c>
      <c r="C13" t="s">
        <v>40</v>
      </c>
      <c r="D13" t="s">
        <v>41</v>
      </c>
    </row>
    <row r="14" spans="1:4" x14ac:dyDescent="0.2">
      <c r="A14" t="s">
        <v>19</v>
      </c>
      <c r="B14" s="1">
        <v>0.2</v>
      </c>
      <c r="C14" t="s">
        <v>48</v>
      </c>
      <c r="D14" t="s">
        <v>41</v>
      </c>
    </row>
    <row r="15" spans="1:4" x14ac:dyDescent="0.2">
      <c r="A15" s="3" t="s">
        <v>23</v>
      </c>
    </row>
    <row r="16" spans="1:4" x14ac:dyDescent="0.2">
      <c r="A16" t="s">
        <v>12</v>
      </c>
      <c r="B16" t="s">
        <v>92</v>
      </c>
    </row>
    <row r="17" spans="1:9" x14ac:dyDescent="0.2">
      <c r="A17" t="s">
        <v>14</v>
      </c>
      <c r="B17" s="1">
        <v>1.4899999999999999E-4</v>
      </c>
      <c r="C17" t="s">
        <v>24</v>
      </c>
    </row>
    <row r="18" spans="1:9" x14ac:dyDescent="0.2">
      <c r="A18" t="s">
        <v>15</v>
      </c>
      <c r="B18" s="1">
        <f>77*0.001</f>
        <v>7.6999999999999999E-2</v>
      </c>
      <c r="C18" t="s">
        <v>25</v>
      </c>
    </row>
    <row r="19" spans="1:9" x14ac:dyDescent="0.2">
      <c r="A19" t="s">
        <v>16</v>
      </c>
      <c r="B19" s="1">
        <v>1.15E-5</v>
      </c>
      <c r="C19" t="s">
        <v>26</v>
      </c>
    </row>
    <row r="20" spans="1:9" x14ac:dyDescent="0.2">
      <c r="A20" t="s">
        <v>93</v>
      </c>
      <c r="B20" s="1">
        <v>5.3700000000000003E-6</v>
      </c>
      <c r="C20" t="s">
        <v>5</v>
      </c>
    </row>
    <row r="21" spans="1:9" x14ac:dyDescent="0.2">
      <c r="A21" t="s">
        <v>17</v>
      </c>
      <c r="B21" s="6">
        <v>28.6</v>
      </c>
      <c r="C21" t="s">
        <v>27</v>
      </c>
    </row>
    <row r="22" spans="1:9" x14ac:dyDescent="0.2">
      <c r="A22" t="s">
        <v>18</v>
      </c>
      <c r="B22" s="6">
        <v>12.45</v>
      </c>
      <c r="C22" t="s">
        <v>24</v>
      </c>
    </row>
    <row r="23" spans="1:9" x14ac:dyDescent="0.2">
      <c r="A23" t="s">
        <v>5</v>
      </c>
      <c r="B23" s="6">
        <v>20.8</v>
      </c>
      <c r="C23" t="s">
        <v>27</v>
      </c>
    </row>
    <row r="24" spans="1:9" x14ac:dyDescent="0.2">
      <c r="A24" t="s">
        <v>65</v>
      </c>
      <c r="B24" s="4">
        <v>12.4</v>
      </c>
      <c r="C24" t="s">
        <v>27</v>
      </c>
      <c r="I24" s="6"/>
    </row>
    <row r="25" spans="1:9" x14ac:dyDescent="0.2">
      <c r="A25" t="s">
        <v>19</v>
      </c>
      <c r="B25" s="1">
        <f>B23*(B21-B22)*0.5</f>
        <v>167.96000000000004</v>
      </c>
      <c r="C25" t="s">
        <v>48</v>
      </c>
      <c r="I25" s="6"/>
    </row>
    <row r="26" spans="1:9" x14ac:dyDescent="0.2">
      <c r="A26" t="s">
        <v>20</v>
      </c>
      <c r="B26" s="1">
        <f>4*(B21+B22)*0.5*0.001</f>
        <v>8.2099999999999992E-2</v>
      </c>
      <c r="C26" t="s">
        <v>25</v>
      </c>
      <c r="I26" s="6"/>
    </row>
    <row r="27" spans="1:9" x14ac:dyDescent="0.2">
      <c r="A27" s="3" t="s">
        <v>64</v>
      </c>
      <c r="I27" s="1"/>
    </row>
    <row r="28" spans="1:9" x14ac:dyDescent="0.2">
      <c r="A28" t="s">
        <v>57</v>
      </c>
      <c r="B28" s="4">
        <v>80</v>
      </c>
      <c r="C28" t="s">
        <v>58</v>
      </c>
      <c r="D28" t="s">
        <v>59</v>
      </c>
      <c r="I28" s="7"/>
    </row>
    <row r="29" spans="1:9" x14ac:dyDescent="0.2">
      <c r="A29" t="s">
        <v>60</v>
      </c>
      <c r="B29" s="2">
        <v>2.5</v>
      </c>
      <c r="D29" t="s">
        <v>61</v>
      </c>
    </row>
    <row r="30" spans="1:9" x14ac:dyDescent="0.2">
      <c r="A30" t="s">
        <v>62</v>
      </c>
      <c r="B30" s="2">
        <v>1.65</v>
      </c>
      <c r="D30" t="s">
        <v>63</v>
      </c>
    </row>
    <row r="31" spans="1:9" x14ac:dyDescent="0.2">
      <c r="A31" s="3" t="s">
        <v>90</v>
      </c>
    </row>
    <row r="32" spans="1:9" x14ac:dyDescent="0.2">
      <c r="A32" t="s">
        <v>91</v>
      </c>
      <c r="B32" s="1">
        <f>B4*B5</f>
        <v>8.5000000000000006E-4</v>
      </c>
      <c r="C32" t="s">
        <v>117</v>
      </c>
    </row>
    <row r="33" spans="1:4" x14ac:dyDescent="0.2">
      <c r="A33" t="s">
        <v>97</v>
      </c>
      <c r="B33" s="4">
        <f>B32/(B7*B17)</f>
        <v>114.09395973154363</v>
      </c>
      <c r="C33" t="s">
        <v>94</v>
      </c>
      <c r="D33" t="s">
        <v>95</v>
      </c>
    </row>
    <row r="34" spans="1:4" x14ac:dyDescent="0.2">
      <c r="A34" t="s">
        <v>98</v>
      </c>
      <c r="B34" s="4">
        <f>B33/B3</f>
        <v>57.046979865771817</v>
      </c>
      <c r="C34" t="s">
        <v>94</v>
      </c>
      <c r="D34" t="s">
        <v>99</v>
      </c>
    </row>
    <row r="35" spans="1:4" x14ac:dyDescent="0.2">
      <c r="A35" t="s">
        <v>1</v>
      </c>
      <c r="B35" s="1">
        <f>B33^2*B20</f>
        <v>6.9903607945588059E-2</v>
      </c>
      <c r="C35" t="s">
        <v>5</v>
      </c>
      <c r="D35" t="s">
        <v>96</v>
      </c>
    </row>
    <row r="36" spans="1:4" x14ac:dyDescent="0.2">
      <c r="A36" s="3" t="s">
        <v>34</v>
      </c>
    </row>
    <row r="37" spans="1:4" x14ac:dyDescent="0.2">
      <c r="A37" t="s">
        <v>100</v>
      </c>
      <c r="B37">
        <v>0.7</v>
      </c>
      <c r="D37" t="s">
        <v>101</v>
      </c>
    </row>
    <row r="38" spans="1:4" x14ac:dyDescent="0.2">
      <c r="A38" t="s">
        <v>102</v>
      </c>
      <c r="B38">
        <f>B37/2</f>
        <v>0.35</v>
      </c>
      <c r="D38" t="s">
        <v>103</v>
      </c>
    </row>
    <row r="39" spans="1:4" x14ac:dyDescent="0.2">
      <c r="A39" t="s">
        <v>104</v>
      </c>
      <c r="B39" s="1">
        <f>B38*B25</f>
        <v>58.786000000000008</v>
      </c>
      <c r="C39" t="s">
        <v>48</v>
      </c>
      <c r="D39" t="s">
        <v>105</v>
      </c>
    </row>
    <row r="40" spans="1:4" x14ac:dyDescent="0.2">
      <c r="A40" t="s">
        <v>106</v>
      </c>
      <c r="B40" s="4">
        <f>B39/B14</f>
        <v>293.93</v>
      </c>
      <c r="C40" t="s">
        <v>94</v>
      </c>
      <c r="D40" t="s">
        <v>107</v>
      </c>
    </row>
    <row r="41" spans="1:4" x14ac:dyDescent="0.2">
      <c r="A41" t="s">
        <v>98</v>
      </c>
      <c r="B41">
        <f>FLOOR(B40/CEILING(B33,1),1)</f>
        <v>2</v>
      </c>
      <c r="C41" t="s">
        <v>108</v>
      </c>
      <c r="D41" t="s">
        <v>109</v>
      </c>
    </row>
    <row r="42" spans="1:4" x14ac:dyDescent="0.2">
      <c r="A42" t="s">
        <v>110</v>
      </c>
      <c r="B42" s="1">
        <f>B26*B33</f>
        <v>9.3671140939597315</v>
      </c>
      <c r="C42" t="s">
        <v>25</v>
      </c>
      <c r="D42" t="s">
        <v>111</v>
      </c>
    </row>
    <row r="43" spans="1:4" x14ac:dyDescent="0.2">
      <c r="A43" t="s">
        <v>112</v>
      </c>
      <c r="B43" s="1">
        <f>B13*B42/B41</f>
        <v>0.39341879194630874</v>
      </c>
      <c r="C43" t="s">
        <v>36</v>
      </c>
    </row>
    <row r="44" spans="1:4" x14ac:dyDescent="0.2">
      <c r="A44" t="s">
        <v>113</v>
      </c>
      <c r="B44" s="2">
        <f>(B6^2)*B43</f>
        <v>39.341879194630877</v>
      </c>
      <c r="C44" t="s">
        <v>65</v>
      </c>
    </row>
    <row r="45" spans="1:4" x14ac:dyDescent="0.2">
      <c r="A45" t="s">
        <v>67</v>
      </c>
      <c r="B45" s="2">
        <f>2*B44</f>
        <v>78.683758389261754</v>
      </c>
      <c r="C45" t="s">
        <v>65</v>
      </c>
    </row>
    <row r="46" spans="1:4" x14ac:dyDescent="0.2">
      <c r="A46" s="3" t="s">
        <v>56</v>
      </c>
    </row>
    <row r="47" spans="1:4" x14ac:dyDescent="0.2">
      <c r="A47" t="s">
        <v>57</v>
      </c>
      <c r="B47" s="2">
        <f>1000*B19*B28*(B8/0.1)^B29*(B9/100000)^B30</f>
        <v>0.91999999999999993</v>
      </c>
      <c r="C47" t="s">
        <v>65</v>
      </c>
      <c r="D47" t="s">
        <v>115</v>
      </c>
    </row>
    <row r="48" spans="1:4" x14ac:dyDescent="0.2">
      <c r="A48" s="3" t="s">
        <v>114</v>
      </c>
    </row>
    <row r="49" spans="1:2" x14ac:dyDescent="0.2">
      <c r="A49" t="s">
        <v>70</v>
      </c>
      <c r="B49" s="2">
        <f>B47+B45</f>
        <v>79.603758389261756</v>
      </c>
    </row>
  </sheetData>
  <pageMargins left="0.75" right="0.75" top="1" bottom="1" header="0.5" footer="0.5"/>
  <pageSetup orientation="portrait" horizontalDpi="4294967292" verticalDpi="429496729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workbookViewId="0">
      <selection activeCell="G25" sqref="G25"/>
    </sheetView>
  </sheetViews>
  <sheetFormatPr baseColWidth="10" defaultRowHeight="16" x14ac:dyDescent="0.2"/>
  <cols>
    <col min="1" max="1" width="8.33203125" customWidth="1"/>
    <col min="2" max="2" width="9.83203125" bestFit="1" customWidth="1"/>
    <col min="3" max="3" width="8.33203125" bestFit="1" customWidth="1"/>
    <col min="4" max="4" width="29" bestFit="1" customWidth="1"/>
  </cols>
  <sheetData>
    <row r="1" spans="1:4" x14ac:dyDescent="0.2">
      <c r="A1" s="3" t="s">
        <v>116</v>
      </c>
    </row>
    <row r="2" spans="1:4" x14ac:dyDescent="0.2">
      <c r="A2" s="3" t="s">
        <v>21</v>
      </c>
    </row>
    <row r="3" spans="1:4" x14ac:dyDescent="0.2">
      <c r="A3" s="5" t="s">
        <v>81</v>
      </c>
      <c r="B3">
        <v>2</v>
      </c>
      <c r="D3" t="s">
        <v>82</v>
      </c>
    </row>
    <row r="4" spans="1:4" x14ac:dyDescent="0.2">
      <c r="A4" s="5" t="s">
        <v>83</v>
      </c>
      <c r="B4">
        <v>170</v>
      </c>
      <c r="C4" t="s">
        <v>84</v>
      </c>
      <c r="D4" t="s">
        <v>86</v>
      </c>
    </row>
    <row r="5" spans="1:4" x14ac:dyDescent="0.2">
      <c r="A5" s="5" t="s">
        <v>87</v>
      </c>
      <c r="B5" s="1">
        <v>5.0000000000000004E-6</v>
      </c>
      <c r="C5" t="s">
        <v>88</v>
      </c>
      <c r="D5" t="s">
        <v>89</v>
      </c>
    </row>
    <row r="6" spans="1:4" x14ac:dyDescent="0.2">
      <c r="A6" t="s">
        <v>3</v>
      </c>
      <c r="B6">
        <v>10</v>
      </c>
      <c r="C6" t="s">
        <v>85</v>
      </c>
      <c r="D6" t="s">
        <v>6</v>
      </c>
    </row>
    <row r="7" spans="1:4" x14ac:dyDescent="0.2">
      <c r="A7" t="s">
        <v>49</v>
      </c>
      <c r="B7" s="1">
        <v>100000</v>
      </c>
      <c r="C7" t="s">
        <v>50</v>
      </c>
      <c r="D7" t="s">
        <v>51</v>
      </c>
    </row>
    <row r="8" spans="1:4" x14ac:dyDescent="0.2">
      <c r="A8" s="3" t="s">
        <v>22</v>
      </c>
    </row>
    <row r="9" spans="1:4" x14ac:dyDescent="0.2">
      <c r="A9" t="s">
        <v>10</v>
      </c>
      <c r="B9" s="8">
        <f>4*ATAN(1)</f>
        <v>3.1415926535897931</v>
      </c>
    </row>
    <row r="10" spans="1:4" x14ac:dyDescent="0.2">
      <c r="A10" t="s">
        <v>11</v>
      </c>
      <c r="B10" s="1">
        <f>4*3.14159*0.0000001</f>
        <v>1.2566359999999999E-6</v>
      </c>
    </row>
    <row r="11" spans="1:4" x14ac:dyDescent="0.2">
      <c r="A11" t="s">
        <v>39</v>
      </c>
      <c r="B11" s="1">
        <v>8.4000000000000005E-2</v>
      </c>
      <c r="C11" t="s">
        <v>40</v>
      </c>
      <c r="D11" t="s">
        <v>41</v>
      </c>
    </row>
    <row r="12" spans="1:4" x14ac:dyDescent="0.2">
      <c r="A12" t="s">
        <v>19</v>
      </c>
      <c r="B12" s="1">
        <v>0.2</v>
      </c>
      <c r="C12" t="s">
        <v>48</v>
      </c>
      <c r="D12" t="s">
        <v>41</v>
      </c>
    </row>
    <row r="13" spans="1:4" x14ac:dyDescent="0.2">
      <c r="A13" s="3" t="s">
        <v>23</v>
      </c>
    </row>
    <row r="14" spans="1:4" x14ac:dyDescent="0.2">
      <c r="A14" t="s">
        <v>12</v>
      </c>
      <c r="B14" t="s">
        <v>92</v>
      </c>
    </row>
    <row r="15" spans="1:4" x14ac:dyDescent="0.2">
      <c r="A15" t="s">
        <v>14</v>
      </c>
      <c r="B15" s="1">
        <v>1.4899999999999999E-4</v>
      </c>
      <c r="C15" t="s">
        <v>24</v>
      </c>
    </row>
    <row r="16" spans="1:4" x14ac:dyDescent="0.2">
      <c r="A16" t="s">
        <v>15</v>
      </c>
      <c r="B16" s="1">
        <f>77*0.001</f>
        <v>7.6999999999999999E-2</v>
      </c>
      <c r="C16" t="s">
        <v>25</v>
      </c>
    </row>
    <row r="17" spans="1:9" x14ac:dyDescent="0.2">
      <c r="A17" t="s">
        <v>16</v>
      </c>
      <c r="B17" s="1">
        <v>1.15E-5</v>
      </c>
      <c r="C17" t="s">
        <v>26</v>
      </c>
    </row>
    <row r="18" spans="1:9" x14ac:dyDescent="0.2">
      <c r="A18" t="s">
        <v>93</v>
      </c>
      <c r="B18" s="1">
        <v>5.3700000000000003E-6</v>
      </c>
      <c r="C18" t="s">
        <v>5</v>
      </c>
    </row>
    <row r="19" spans="1:9" x14ac:dyDescent="0.2">
      <c r="A19" t="s">
        <v>17</v>
      </c>
      <c r="B19" s="6">
        <v>28.6</v>
      </c>
      <c r="C19" t="s">
        <v>27</v>
      </c>
    </row>
    <row r="20" spans="1:9" x14ac:dyDescent="0.2">
      <c r="A20" t="s">
        <v>18</v>
      </c>
      <c r="B20" s="6">
        <v>12.45</v>
      </c>
      <c r="C20" t="s">
        <v>24</v>
      </c>
    </row>
    <row r="21" spans="1:9" x14ac:dyDescent="0.2">
      <c r="A21" t="s">
        <v>5</v>
      </c>
      <c r="B21" s="6">
        <v>20.8</v>
      </c>
      <c r="C21" t="s">
        <v>27</v>
      </c>
    </row>
    <row r="22" spans="1:9" x14ac:dyDescent="0.2">
      <c r="A22" t="s">
        <v>65</v>
      </c>
      <c r="B22" s="4">
        <v>12.4</v>
      </c>
      <c r="C22" t="s">
        <v>27</v>
      </c>
      <c r="I22" s="6"/>
    </row>
    <row r="23" spans="1:9" x14ac:dyDescent="0.2">
      <c r="A23" t="s">
        <v>19</v>
      </c>
      <c r="B23" s="1">
        <f>B21*(B19-B20)*0.5</f>
        <v>167.96000000000004</v>
      </c>
      <c r="C23" t="s">
        <v>48</v>
      </c>
      <c r="I23" s="6"/>
    </row>
    <row r="24" spans="1:9" x14ac:dyDescent="0.2">
      <c r="A24" t="s">
        <v>20</v>
      </c>
      <c r="B24" s="1">
        <f>4*(B19+B20)*0.5*0.001</f>
        <v>8.2099999999999992E-2</v>
      </c>
      <c r="C24" t="s">
        <v>25</v>
      </c>
      <c r="I24" s="6"/>
    </row>
    <row r="25" spans="1:9" x14ac:dyDescent="0.2">
      <c r="A25" s="3" t="s">
        <v>64</v>
      </c>
      <c r="I25" s="1"/>
    </row>
    <row r="26" spans="1:9" x14ac:dyDescent="0.2">
      <c r="A26" t="s">
        <v>57</v>
      </c>
      <c r="B26" s="4">
        <v>80</v>
      </c>
      <c r="C26" t="s">
        <v>58</v>
      </c>
      <c r="D26" t="s">
        <v>59</v>
      </c>
      <c r="I26" s="7"/>
    </row>
    <row r="27" spans="1:9" x14ac:dyDescent="0.2">
      <c r="A27" t="s">
        <v>60</v>
      </c>
      <c r="B27" s="2">
        <v>2.5</v>
      </c>
      <c r="D27" t="s">
        <v>61</v>
      </c>
    </row>
    <row r="28" spans="1:9" x14ac:dyDescent="0.2">
      <c r="A28" t="s">
        <v>62</v>
      </c>
      <c r="B28" s="2">
        <v>1.65</v>
      </c>
      <c r="D28" t="s">
        <v>63</v>
      </c>
    </row>
    <row r="29" spans="1:9" x14ac:dyDescent="0.2">
      <c r="A29" s="3" t="s">
        <v>90</v>
      </c>
    </row>
    <row r="30" spans="1:9" x14ac:dyDescent="0.2">
      <c r="A30" t="s">
        <v>91</v>
      </c>
      <c r="B30" s="1">
        <f>B4*B5</f>
        <v>8.5000000000000006E-4</v>
      </c>
      <c r="C30" t="s">
        <v>117</v>
      </c>
    </row>
    <row r="31" spans="1:9" x14ac:dyDescent="0.2">
      <c r="A31" t="s">
        <v>7</v>
      </c>
      <c r="B31">
        <v>0.12</v>
      </c>
      <c r="C31" t="s">
        <v>8</v>
      </c>
      <c r="D31" t="s">
        <v>9</v>
      </c>
    </row>
    <row r="32" spans="1:9" x14ac:dyDescent="0.2">
      <c r="A32" t="s">
        <v>121</v>
      </c>
      <c r="B32">
        <f>2*B31</f>
        <v>0.24</v>
      </c>
      <c r="C32" t="s">
        <v>8</v>
      </c>
      <c r="D32" t="s">
        <v>129</v>
      </c>
    </row>
    <row r="33" spans="1:4" x14ac:dyDescent="0.2">
      <c r="A33" t="s">
        <v>97</v>
      </c>
      <c r="B33" s="4">
        <f>B30/(B31*B15)</f>
        <v>47.539149888143186</v>
      </c>
      <c r="C33" t="s">
        <v>94</v>
      </c>
      <c r="D33" t="s">
        <v>95</v>
      </c>
    </row>
    <row r="34" spans="1:4" x14ac:dyDescent="0.2">
      <c r="A34" t="s">
        <v>98</v>
      </c>
      <c r="B34" s="4">
        <f>B33/B3</f>
        <v>23.769574944071593</v>
      </c>
      <c r="C34" t="s">
        <v>94</v>
      </c>
      <c r="D34" t="s">
        <v>99</v>
      </c>
    </row>
    <row r="35" spans="1:4" x14ac:dyDescent="0.2">
      <c r="A35" t="s">
        <v>1</v>
      </c>
      <c r="B35" s="1">
        <f>B33^2*B18</f>
        <v>1.2136043046109039E-2</v>
      </c>
      <c r="C35" t="s">
        <v>5</v>
      </c>
      <c r="D35" t="s">
        <v>96</v>
      </c>
    </row>
    <row r="36" spans="1:4" x14ac:dyDescent="0.2">
      <c r="A36" s="3" t="s">
        <v>34</v>
      </c>
    </row>
    <row r="37" spans="1:4" x14ac:dyDescent="0.2">
      <c r="A37" t="s">
        <v>100</v>
      </c>
      <c r="B37">
        <v>0.7</v>
      </c>
      <c r="D37" t="s">
        <v>101</v>
      </c>
    </row>
    <row r="38" spans="1:4" x14ac:dyDescent="0.2">
      <c r="A38" t="s">
        <v>102</v>
      </c>
      <c r="B38">
        <f>B37/2</f>
        <v>0.35</v>
      </c>
      <c r="D38" t="s">
        <v>103</v>
      </c>
    </row>
    <row r="39" spans="1:4" x14ac:dyDescent="0.2">
      <c r="A39" t="s">
        <v>104</v>
      </c>
      <c r="B39" s="1">
        <f>B38*B23</f>
        <v>58.786000000000008</v>
      </c>
      <c r="C39" t="s">
        <v>48</v>
      </c>
      <c r="D39" t="s">
        <v>105</v>
      </c>
    </row>
    <row r="40" spans="1:4" x14ac:dyDescent="0.2">
      <c r="A40" t="s">
        <v>106</v>
      </c>
      <c r="B40" s="4">
        <f>B39/B12</f>
        <v>293.93</v>
      </c>
      <c r="C40" t="s">
        <v>94</v>
      </c>
      <c r="D40" t="s">
        <v>107</v>
      </c>
    </row>
    <row r="41" spans="1:4" x14ac:dyDescent="0.2">
      <c r="A41" t="s">
        <v>98</v>
      </c>
      <c r="B41">
        <f>FLOOR(B40/CEILING(B33,1),1)</f>
        <v>6</v>
      </c>
      <c r="C41" t="s">
        <v>108</v>
      </c>
      <c r="D41" t="s">
        <v>109</v>
      </c>
    </row>
    <row r="42" spans="1:4" x14ac:dyDescent="0.2">
      <c r="A42" t="s">
        <v>110</v>
      </c>
      <c r="B42" s="1">
        <f>B24*B33</f>
        <v>3.9029642058165552</v>
      </c>
      <c r="C42" t="s">
        <v>25</v>
      </c>
      <c r="D42" t="s">
        <v>111</v>
      </c>
    </row>
    <row r="43" spans="1:4" x14ac:dyDescent="0.2">
      <c r="A43" t="s">
        <v>112</v>
      </c>
      <c r="B43" s="1">
        <f>B11*B42/B41</f>
        <v>5.4641498881431778E-2</v>
      </c>
      <c r="C43" t="s">
        <v>36</v>
      </c>
    </row>
    <row r="44" spans="1:4" x14ac:dyDescent="0.2">
      <c r="A44" t="s">
        <v>113</v>
      </c>
      <c r="B44" s="2">
        <f>(B6^2)*B43</f>
        <v>5.4641498881431776</v>
      </c>
      <c r="C44" t="s">
        <v>65</v>
      </c>
    </row>
    <row r="45" spans="1:4" x14ac:dyDescent="0.2">
      <c r="A45" t="s">
        <v>67</v>
      </c>
      <c r="B45" s="2">
        <f>2*B44</f>
        <v>10.928299776286355</v>
      </c>
      <c r="C45" t="s">
        <v>65</v>
      </c>
    </row>
    <row r="46" spans="1:4" x14ac:dyDescent="0.2">
      <c r="A46" s="3" t="s">
        <v>56</v>
      </c>
    </row>
    <row r="47" spans="1:4" x14ac:dyDescent="0.2">
      <c r="A47" t="s">
        <v>57</v>
      </c>
      <c r="B47" s="2">
        <f>1000*B17*B26*(B32/0.1)^B27*(B7/100000)^B28</f>
        <v>8.2094853392889373</v>
      </c>
      <c r="C47" t="s">
        <v>65</v>
      </c>
      <c r="D47" t="s">
        <v>115</v>
      </c>
    </row>
    <row r="48" spans="1:4" x14ac:dyDescent="0.2">
      <c r="A48" s="3" t="s">
        <v>114</v>
      </c>
    </row>
    <row r="49" spans="1:2" x14ac:dyDescent="0.2">
      <c r="A49" t="s">
        <v>70</v>
      </c>
      <c r="B49" s="2">
        <f>B47+B45</f>
        <v>19.137785115575291</v>
      </c>
    </row>
  </sheetData>
  <pageMargins left="0.75" right="0.75" top="1" bottom="1" header="0.5" footer="0.5"/>
  <pageSetup orientation="portrait" horizontalDpi="4294967292" verticalDpi="429496729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workbookViewId="0">
      <selection sqref="A1:G49"/>
    </sheetView>
  </sheetViews>
  <sheetFormatPr baseColWidth="10" defaultRowHeight="16" x14ac:dyDescent="0.2"/>
  <cols>
    <col min="1" max="1" width="8.33203125" customWidth="1"/>
    <col min="2" max="4" width="9.83203125" bestFit="1" customWidth="1"/>
    <col min="5" max="5" width="9.83203125" customWidth="1"/>
    <col min="6" max="6" width="8.33203125" bestFit="1" customWidth="1"/>
    <col min="7" max="7" width="29" bestFit="1" customWidth="1"/>
  </cols>
  <sheetData>
    <row r="1" spans="1:7" x14ac:dyDescent="0.2">
      <c r="A1" s="3" t="s">
        <v>116</v>
      </c>
      <c r="B1" s="3"/>
      <c r="C1" s="3"/>
    </row>
    <row r="2" spans="1:7" x14ac:dyDescent="0.2">
      <c r="A2" s="3" t="s">
        <v>21</v>
      </c>
      <c r="B2" s="3"/>
      <c r="C2" s="3"/>
    </row>
    <row r="3" spans="1:7" x14ac:dyDescent="0.2">
      <c r="A3" s="5" t="s">
        <v>81</v>
      </c>
      <c r="B3">
        <v>2</v>
      </c>
      <c r="C3">
        <v>2</v>
      </c>
      <c r="D3">
        <v>2</v>
      </c>
      <c r="E3">
        <v>2</v>
      </c>
      <c r="G3" t="s">
        <v>82</v>
      </c>
    </row>
    <row r="4" spans="1:7" x14ac:dyDescent="0.2">
      <c r="A4" s="5" t="s">
        <v>83</v>
      </c>
      <c r="B4">
        <v>170</v>
      </c>
      <c r="C4">
        <v>170</v>
      </c>
      <c r="D4">
        <v>170</v>
      </c>
      <c r="E4">
        <v>170</v>
      </c>
      <c r="F4" t="s">
        <v>84</v>
      </c>
      <c r="G4" t="s">
        <v>86</v>
      </c>
    </row>
    <row r="5" spans="1:7" x14ac:dyDescent="0.2">
      <c r="A5" s="5" t="s">
        <v>87</v>
      </c>
      <c r="B5" s="1">
        <v>5.0000000000000004E-6</v>
      </c>
      <c r="C5" s="1">
        <v>5.0000000000000004E-6</v>
      </c>
      <c r="D5" s="1">
        <v>5.0000000000000004E-6</v>
      </c>
      <c r="E5" s="1">
        <v>5.0000000000000004E-6</v>
      </c>
      <c r="F5" t="s">
        <v>88</v>
      </c>
      <c r="G5" t="s">
        <v>89</v>
      </c>
    </row>
    <row r="6" spans="1:7" x14ac:dyDescent="0.2">
      <c r="A6" t="s">
        <v>3</v>
      </c>
      <c r="B6">
        <v>10</v>
      </c>
      <c r="C6">
        <v>10</v>
      </c>
      <c r="D6">
        <v>10</v>
      </c>
      <c r="E6">
        <v>10</v>
      </c>
      <c r="F6" t="s">
        <v>85</v>
      </c>
      <c r="G6" t="s">
        <v>6</v>
      </c>
    </row>
    <row r="7" spans="1:7" x14ac:dyDescent="0.2">
      <c r="A7" t="s">
        <v>49</v>
      </c>
      <c r="B7" s="1">
        <v>100000</v>
      </c>
      <c r="C7" s="1">
        <v>100000</v>
      </c>
      <c r="D7" s="1">
        <v>100000</v>
      </c>
      <c r="E7" s="1">
        <v>100000</v>
      </c>
      <c r="F7" t="s">
        <v>50</v>
      </c>
      <c r="G7" t="s">
        <v>51</v>
      </c>
    </row>
    <row r="8" spans="1:7" x14ac:dyDescent="0.2">
      <c r="A8" s="3" t="s">
        <v>22</v>
      </c>
    </row>
    <row r="9" spans="1:7" x14ac:dyDescent="0.2">
      <c r="A9" t="s">
        <v>10</v>
      </c>
      <c r="B9" s="8">
        <f>4*ATAN(1)</f>
        <v>3.1415926535897931</v>
      </c>
      <c r="C9" s="8">
        <f>4*ATAN(1)</f>
        <v>3.1415926535897931</v>
      </c>
      <c r="D9" s="8">
        <f>4*ATAN(1)</f>
        <v>3.1415926535897931</v>
      </c>
      <c r="E9" s="8">
        <f>4*ATAN(1)</f>
        <v>3.1415926535897931</v>
      </c>
    </row>
    <row r="10" spans="1:7" x14ac:dyDescent="0.2">
      <c r="A10" t="s">
        <v>11</v>
      </c>
      <c r="B10" s="1">
        <f>4*3.14159*0.0000001</f>
        <v>1.2566359999999999E-6</v>
      </c>
      <c r="C10" s="1">
        <f>4*3.14159*0.0000001</f>
        <v>1.2566359999999999E-6</v>
      </c>
      <c r="D10" s="1">
        <f>4*3.14159*0.0000001</f>
        <v>1.2566359999999999E-6</v>
      </c>
      <c r="E10" s="1">
        <f>4*3.14159*0.0000001</f>
        <v>1.2566359999999999E-6</v>
      </c>
    </row>
    <row r="11" spans="1:7" x14ac:dyDescent="0.2">
      <c r="A11" t="s">
        <v>39</v>
      </c>
      <c r="B11" s="1">
        <v>8.4000000000000005E-2</v>
      </c>
      <c r="C11" s="1">
        <v>8.4000000000000005E-2</v>
      </c>
      <c r="D11" s="1">
        <v>8.4000000000000005E-2</v>
      </c>
      <c r="E11" s="1">
        <v>8.4000000000000005E-2</v>
      </c>
      <c r="F11" t="s">
        <v>40</v>
      </c>
      <c r="G11" t="s">
        <v>41</v>
      </c>
    </row>
    <row r="12" spans="1:7" x14ac:dyDescent="0.2">
      <c r="A12" t="s">
        <v>19</v>
      </c>
      <c r="B12" s="1">
        <v>0.2</v>
      </c>
      <c r="C12" s="1">
        <v>0.2</v>
      </c>
      <c r="D12" s="1">
        <v>0.2</v>
      </c>
      <c r="E12" s="1">
        <v>0.2</v>
      </c>
      <c r="F12" t="s">
        <v>48</v>
      </c>
      <c r="G12" t="s">
        <v>41</v>
      </c>
    </row>
    <row r="13" spans="1:7" x14ac:dyDescent="0.2">
      <c r="A13" s="3" t="s">
        <v>23</v>
      </c>
    </row>
    <row r="14" spans="1:7" x14ac:dyDescent="0.2">
      <c r="A14" t="s">
        <v>12</v>
      </c>
      <c r="B14" t="s">
        <v>120</v>
      </c>
      <c r="C14" t="s">
        <v>119</v>
      </c>
      <c r="D14" t="s">
        <v>92</v>
      </c>
      <c r="E14" t="s">
        <v>118</v>
      </c>
    </row>
    <row r="15" spans="1:7" x14ac:dyDescent="0.2">
      <c r="A15" t="s">
        <v>14</v>
      </c>
      <c r="B15" s="1">
        <v>1E-4</v>
      </c>
      <c r="C15" s="1">
        <v>1.26E-4</v>
      </c>
      <c r="D15" s="1">
        <v>1.4899999999999999E-4</v>
      </c>
      <c r="E15" s="1">
        <v>1.7799999999999999E-4</v>
      </c>
      <c r="F15" t="s">
        <v>24</v>
      </c>
    </row>
    <row r="16" spans="1:7" x14ac:dyDescent="0.2">
      <c r="A16" t="s">
        <v>15</v>
      </c>
      <c r="B16" s="1">
        <v>8.0699999999999994E-2</v>
      </c>
      <c r="C16" s="1">
        <v>9.6000000000000002E-2</v>
      </c>
      <c r="D16" s="1">
        <f>77*0.001</f>
        <v>7.6999999999999999E-2</v>
      </c>
      <c r="E16" s="1">
        <f>0.097</f>
        <v>9.7000000000000003E-2</v>
      </c>
      <c r="F16" t="s">
        <v>25</v>
      </c>
    </row>
    <row r="17" spans="1:12" x14ac:dyDescent="0.2">
      <c r="A17" t="s">
        <v>16</v>
      </c>
      <c r="B17" s="1">
        <v>8.0700000000000007E-6</v>
      </c>
      <c r="C17" s="1">
        <v>1.216E-5</v>
      </c>
      <c r="D17" s="1">
        <v>1.15E-5</v>
      </c>
      <c r="E17" s="1">
        <v>1.73E-5</v>
      </c>
      <c r="F17" t="s">
        <v>26</v>
      </c>
    </row>
    <row r="18" spans="1:12" x14ac:dyDescent="0.2">
      <c r="A18" t="s">
        <v>93</v>
      </c>
      <c r="B18" s="1">
        <v>2.9799999999999998E-6</v>
      </c>
      <c r="C18" s="1">
        <v>2.65E-6</v>
      </c>
      <c r="D18" s="1">
        <v>5.3700000000000003E-6</v>
      </c>
      <c r="E18" s="1">
        <f>0.0000053</f>
        <v>5.3000000000000001E-6</v>
      </c>
      <c r="F18" t="s">
        <v>5</v>
      </c>
    </row>
    <row r="19" spans="1:12" x14ac:dyDescent="0.2">
      <c r="A19" t="s">
        <v>17</v>
      </c>
      <c r="B19" s="6">
        <v>24.5</v>
      </c>
      <c r="C19" s="6">
        <v>24.5</v>
      </c>
      <c r="D19" s="6">
        <v>28.6</v>
      </c>
      <c r="E19" s="6">
        <v>29.5</v>
      </c>
      <c r="F19" t="s">
        <v>27</v>
      </c>
    </row>
    <row r="20" spans="1:12" x14ac:dyDescent="0.2">
      <c r="A20" t="s">
        <v>18</v>
      </c>
      <c r="B20" s="6">
        <v>10</v>
      </c>
      <c r="C20" s="6">
        <v>10.199999999999999</v>
      </c>
      <c r="D20" s="6">
        <v>12.45</v>
      </c>
      <c r="E20" s="6">
        <v>6</v>
      </c>
      <c r="F20" t="s">
        <v>24</v>
      </c>
    </row>
    <row r="21" spans="1:12" x14ac:dyDescent="0.2">
      <c r="A21" t="s">
        <v>5</v>
      </c>
      <c r="B21" s="6">
        <v>25</v>
      </c>
      <c r="C21" s="6">
        <v>31.5</v>
      </c>
      <c r="D21" s="6">
        <v>20.8</v>
      </c>
      <c r="E21" s="6">
        <v>29.6</v>
      </c>
      <c r="F21" t="s">
        <v>27</v>
      </c>
    </row>
    <row r="22" spans="1:12" x14ac:dyDescent="0.2">
      <c r="A22" t="s">
        <v>65</v>
      </c>
      <c r="B22" s="4">
        <v>12.4</v>
      </c>
      <c r="C22" s="4">
        <v>12.4</v>
      </c>
      <c r="D22" s="4">
        <v>12.4</v>
      </c>
      <c r="E22" s="4">
        <v>15.2</v>
      </c>
      <c r="F22" t="s">
        <v>27</v>
      </c>
      <c r="L22" s="6"/>
    </row>
    <row r="23" spans="1:12" x14ac:dyDescent="0.2">
      <c r="A23" t="s">
        <v>19</v>
      </c>
      <c r="B23" s="1">
        <f>B21*(B19-B20)*0.5</f>
        <v>181.25</v>
      </c>
      <c r="C23" s="1">
        <f>C21*(C19-C20)*0.5</f>
        <v>225.22500000000002</v>
      </c>
      <c r="D23" s="1">
        <f>D21*(D19-D20)*0.5</f>
        <v>167.96000000000004</v>
      </c>
      <c r="E23" s="1">
        <f>E21*(E19-E20)*0.5</f>
        <v>347.8</v>
      </c>
      <c r="F23" t="s">
        <v>48</v>
      </c>
      <c r="L23" s="6"/>
    </row>
    <row r="24" spans="1:12" x14ac:dyDescent="0.2">
      <c r="A24" t="s">
        <v>20</v>
      </c>
      <c r="B24" s="1">
        <f>4*(B19+B20)*0.5*0.001</f>
        <v>6.9000000000000006E-2</v>
      </c>
      <c r="C24" s="1">
        <f>4*(C19+C20)*0.5*0.001</f>
        <v>6.9400000000000003E-2</v>
      </c>
      <c r="D24" s="1">
        <f>4*(D19+D20)*0.5*0.001</f>
        <v>8.2099999999999992E-2</v>
      </c>
      <c r="E24" s="1">
        <f>4*(E19+E20)*0.5*0.001</f>
        <v>7.1000000000000008E-2</v>
      </c>
      <c r="F24" t="s">
        <v>25</v>
      </c>
      <c r="L24" s="6"/>
    </row>
    <row r="25" spans="1:12" x14ac:dyDescent="0.2">
      <c r="A25" s="3" t="s">
        <v>64</v>
      </c>
      <c r="L25" s="1"/>
    </row>
    <row r="26" spans="1:12" x14ac:dyDescent="0.2">
      <c r="A26" t="s">
        <v>57</v>
      </c>
      <c r="B26" s="4">
        <v>80</v>
      </c>
      <c r="C26" s="4">
        <v>80</v>
      </c>
      <c r="D26" s="4">
        <v>80</v>
      </c>
      <c r="E26" s="4">
        <v>80</v>
      </c>
      <c r="F26" t="s">
        <v>58</v>
      </c>
      <c r="G26" t="s">
        <v>59</v>
      </c>
      <c r="L26" s="7"/>
    </row>
    <row r="27" spans="1:12" x14ac:dyDescent="0.2">
      <c r="A27" t="s">
        <v>60</v>
      </c>
      <c r="B27" s="2">
        <v>2.5</v>
      </c>
      <c r="C27" s="2">
        <v>2.5</v>
      </c>
      <c r="D27" s="2">
        <v>2.5</v>
      </c>
      <c r="E27" s="2">
        <v>2.5</v>
      </c>
      <c r="G27" t="s">
        <v>61</v>
      </c>
    </row>
    <row r="28" spans="1:12" x14ac:dyDescent="0.2">
      <c r="A28" t="s">
        <v>62</v>
      </c>
      <c r="B28" s="2">
        <v>1.65</v>
      </c>
      <c r="C28" s="2">
        <v>1.65</v>
      </c>
      <c r="D28" s="2">
        <v>1.65</v>
      </c>
      <c r="E28" s="2">
        <v>1.65</v>
      </c>
      <c r="G28" t="s">
        <v>63</v>
      </c>
    </row>
    <row r="29" spans="1:12" x14ac:dyDescent="0.2">
      <c r="A29" s="3" t="s">
        <v>90</v>
      </c>
    </row>
    <row r="30" spans="1:12" x14ac:dyDescent="0.2">
      <c r="A30" t="s">
        <v>91</v>
      </c>
      <c r="B30" s="1">
        <f>B4*B5</f>
        <v>8.5000000000000006E-4</v>
      </c>
      <c r="C30" s="1">
        <f>C4*C5</f>
        <v>8.5000000000000006E-4</v>
      </c>
      <c r="D30" s="1">
        <f>D4*D5</f>
        <v>8.5000000000000006E-4</v>
      </c>
      <c r="E30" s="1">
        <f>E4*E5</f>
        <v>8.5000000000000006E-4</v>
      </c>
      <c r="F30" t="s">
        <v>117</v>
      </c>
    </row>
    <row r="31" spans="1:12" x14ac:dyDescent="0.2">
      <c r="A31" t="s">
        <v>7</v>
      </c>
      <c r="B31" s="2">
        <v>0.13819874619348815</v>
      </c>
      <c r="C31" s="2">
        <v>0.12046488622514732</v>
      </c>
      <c r="D31" s="2">
        <v>0.1237461122253377</v>
      </c>
      <c r="E31" s="2">
        <v>8.9851132843367126E-2</v>
      </c>
      <c r="F31" t="s">
        <v>8</v>
      </c>
      <c r="G31" t="s">
        <v>9</v>
      </c>
    </row>
    <row r="32" spans="1:12" x14ac:dyDescent="0.2">
      <c r="A32" t="s">
        <v>121</v>
      </c>
      <c r="B32" s="2">
        <f>2*B31</f>
        <v>0.27639749238697631</v>
      </c>
      <c r="C32" s="2">
        <f t="shared" ref="C32:E32" si="0">2*C31</f>
        <v>0.24092977245029465</v>
      </c>
      <c r="D32" s="2">
        <f t="shared" si="0"/>
        <v>0.2474922244506754</v>
      </c>
      <c r="E32" s="2">
        <f t="shared" si="0"/>
        <v>0.17970226568673425</v>
      </c>
      <c r="F32" t="s">
        <v>8</v>
      </c>
      <c r="G32" t="s">
        <v>129</v>
      </c>
    </row>
    <row r="33" spans="1:7" x14ac:dyDescent="0.2">
      <c r="A33" t="s">
        <v>97</v>
      </c>
      <c r="B33" s="4">
        <f>B30/(B31*B15)</f>
        <v>61.505623126995602</v>
      </c>
      <c r="C33" s="4">
        <f>C30/(C31*C15)</f>
        <v>55.999984372404583</v>
      </c>
      <c r="D33" s="4">
        <f>D30/(D31*D15)</f>
        <v>46.100017883302144</v>
      </c>
      <c r="E33" s="4">
        <f>E30/(E31*E15)</f>
        <v>53.146585332439905</v>
      </c>
      <c r="F33" t="s">
        <v>94</v>
      </c>
      <c r="G33" t="s">
        <v>95</v>
      </c>
    </row>
    <row r="34" spans="1:7" x14ac:dyDescent="0.2">
      <c r="A34" t="s">
        <v>98</v>
      </c>
      <c r="B34" s="4">
        <f>B33/B3</f>
        <v>30.752811563497801</v>
      </c>
      <c r="C34" s="4">
        <f>C33/C3</f>
        <v>27.999992186202292</v>
      </c>
      <c r="D34" s="4">
        <f>D33/D3</f>
        <v>23.050008941651072</v>
      </c>
      <c r="E34" s="4">
        <f>E33/E3</f>
        <v>26.573292666219952</v>
      </c>
      <c r="F34" t="s">
        <v>94</v>
      </c>
      <c r="G34" t="s">
        <v>99</v>
      </c>
    </row>
    <row r="35" spans="1:7" x14ac:dyDescent="0.2">
      <c r="A35" t="s">
        <v>1</v>
      </c>
      <c r="B35" s="1">
        <f>B33^2*B18</f>
        <v>1.1273166195195247E-2</v>
      </c>
      <c r="C35" s="1">
        <f>C33^2*C18</f>
        <v>8.3103953617303279E-3</v>
      </c>
      <c r="D35" s="1">
        <f>D33^2*D18</f>
        <v>1.1412386554274975E-2</v>
      </c>
      <c r="E35" s="1">
        <f>E33^2*E18</f>
        <v>1.4970165522241077E-2</v>
      </c>
      <c r="F35" t="s">
        <v>5</v>
      </c>
      <c r="G35" t="s">
        <v>96</v>
      </c>
    </row>
    <row r="36" spans="1:7" x14ac:dyDescent="0.2">
      <c r="A36" s="3" t="s">
        <v>34</v>
      </c>
    </row>
    <row r="37" spans="1:7" x14ac:dyDescent="0.2">
      <c r="A37" t="s">
        <v>100</v>
      </c>
      <c r="B37">
        <v>0.7</v>
      </c>
      <c r="C37">
        <v>0.7</v>
      </c>
      <c r="D37">
        <v>0.7</v>
      </c>
      <c r="E37">
        <v>0.7</v>
      </c>
      <c r="G37" t="s">
        <v>101</v>
      </c>
    </row>
    <row r="38" spans="1:7" x14ac:dyDescent="0.2">
      <c r="A38" t="s">
        <v>102</v>
      </c>
      <c r="B38">
        <f>B37/2</f>
        <v>0.35</v>
      </c>
      <c r="C38">
        <f>C37/2</f>
        <v>0.35</v>
      </c>
      <c r="D38">
        <f>D37/2</f>
        <v>0.35</v>
      </c>
      <c r="E38">
        <f>E37/2</f>
        <v>0.35</v>
      </c>
      <c r="G38" t="s">
        <v>103</v>
      </c>
    </row>
    <row r="39" spans="1:7" x14ac:dyDescent="0.2">
      <c r="A39" t="s">
        <v>104</v>
      </c>
      <c r="B39" s="1">
        <f>B38*B23</f>
        <v>63.437499999999993</v>
      </c>
      <c r="C39" s="1">
        <f>C38*C23</f>
        <v>78.828749999999999</v>
      </c>
      <c r="D39" s="1">
        <f>D38*D23</f>
        <v>58.786000000000008</v>
      </c>
      <c r="E39" s="1">
        <f>E38*E23</f>
        <v>121.72999999999999</v>
      </c>
      <c r="F39" t="s">
        <v>48</v>
      </c>
      <c r="G39" t="s">
        <v>105</v>
      </c>
    </row>
    <row r="40" spans="1:7" x14ac:dyDescent="0.2">
      <c r="A40" t="s">
        <v>106</v>
      </c>
      <c r="B40" s="4">
        <f>B39/B12</f>
        <v>317.18749999999994</v>
      </c>
      <c r="C40" s="4">
        <f>C39/C12</f>
        <v>394.14374999999995</v>
      </c>
      <c r="D40" s="4">
        <f>D39/D12</f>
        <v>293.93</v>
      </c>
      <c r="E40" s="4">
        <f>E39/E12</f>
        <v>608.64999999999986</v>
      </c>
      <c r="F40" t="s">
        <v>94</v>
      </c>
      <c r="G40" t="s">
        <v>107</v>
      </c>
    </row>
    <row r="41" spans="1:7" x14ac:dyDescent="0.2">
      <c r="A41" t="s">
        <v>98</v>
      </c>
      <c r="B41">
        <f>FLOOR(B40/CEILING(B33,1),1)</f>
        <v>5</v>
      </c>
      <c r="C41">
        <f>FLOOR(C40/CEILING(C33,1),1)</f>
        <v>7</v>
      </c>
      <c r="D41">
        <f>FLOOR(D40/CEILING(D33,1),1)</f>
        <v>6</v>
      </c>
      <c r="E41">
        <f>FLOOR(E40/CEILING(E33,1),1)</f>
        <v>11</v>
      </c>
      <c r="F41" t="s">
        <v>108</v>
      </c>
      <c r="G41" t="s">
        <v>109</v>
      </c>
    </row>
    <row r="42" spans="1:7" x14ac:dyDescent="0.2">
      <c r="A42" t="s">
        <v>110</v>
      </c>
      <c r="B42" s="1">
        <f>B24*B33</f>
        <v>4.2438879957626972</v>
      </c>
      <c r="C42" s="1">
        <f>C24*C33</f>
        <v>3.8863989154448784</v>
      </c>
      <c r="D42" s="1">
        <f>D24*D33</f>
        <v>3.7848114682191056</v>
      </c>
      <c r="E42" s="1">
        <f>E24*E33</f>
        <v>3.7734075586032336</v>
      </c>
      <c r="F42" t="s">
        <v>25</v>
      </c>
      <c r="G42" t="s">
        <v>111</v>
      </c>
    </row>
    <row r="43" spans="1:7" x14ac:dyDescent="0.2">
      <c r="A43" t="s">
        <v>112</v>
      </c>
      <c r="B43" s="1">
        <f>B11*B42/B41</f>
        <v>7.1297318328813322E-2</v>
      </c>
      <c r="C43" s="1">
        <f>C11*C42/C41</f>
        <v>4.6636786985338539E-2</v>
      </c>
      <c r="D43" s="1">
        <f>D11*D42/D41</f>
        <v>5.2987360555067482E-2</v>
      </c>
      <c r="E43" s="1">
        <f>E11*E42/E41</f>
        <v>2.8815112265697419E-2</v>
      </c>
      <c r="F43" t="s">
        <v>36</v>
      </c>
    </row>
    <row r="44" spans="1:7" x14ac:dyDescent="0.2">
      <c r="A44" t="s">
        <v>113</v>
      </c>
      <c r="B44" s="2">
        <f>(B6^2)*B43</f>
        <v>7.1297318328813324</v>
      </c>
      <c r="C44" s="2">
        <f>(C6^2)*C43</f>
        <v>4.6636786985338539</v>
      </c>
      <c r="D44" s="2">
        <f>(D6^2)*D43</f>
        <v>5.2987360555067484</v>
      </c>
      <c r="E44" s="2">
        <f>(E6^2)*E43</f>
        <v>2.8815112265697418</v>
      </c>
      <c r="F44" t="s">
        <v>65</v>
      </c>
    </row>
    <row r="45" spans="1:7" x14ac:dyDescent="0.2">
      <c r="A45" t="s">
        <v>67</v>
      </c>
      <c r="B45" s="2">
        <f>2*B44</f>
        <v>14.259463665762665</v>
      </c>
      <c r="C45" s="2">
        <f>2*C44</f>
        <v>9.3273573970677077</v>
      </c>
      <c r="D45" s="2">
        <f>2*D44</f>
        <v>10.597472111013497</v>
      </c>
      <c r="E45" s="2">
        <f>2*E44</f>
        <v>5.7630224531394836</v>
      </c>
      <c r="F45" t="s">
        <v>65</v>
      </c>
    </row>
    <row r="46" spans="1:7" x14ac:dyDescent="0.2">
      <c r="A46" s="3" t="s">
        <v>56</v>
      </c>
    </row>
    <row r="47" spans="1:7" x14ac:dyDescent="0.2">
      <c r="A47" t="s">
        <v>57</v>
      </c>
      <c r="B47" s="2">
        <f>1000*B17*B26*(B32/0.1)^B27*(B7/100000)^B28</f>
        <v>8.1997151972079649</v>
      </c>
      <c r="C47" s="2">
        <f t="shared" ref="C47:E47" si="1">1000*C17*C26*(C32/0.1)^C27*(C7/100000)^C28</f>
        <v>8.7649559550783955</v>
      </c>
      <c r="D47" s="2">
        <f t="shared" si="1"/>
        <v>8.8652650625902343</v>
      </c>
      <c r="E47" s="2">
        <f t="shared" si="1"/>
        <v>5.991284901612933</v>
      </c>
      <c r="F47" t="s">
        <v>65</v>
      </c>
      <c r="G47" t="s">
        <v>115</v>
      </c>
    </row>
    <row r="48" spans="1:7" x14ac:dyDescent="0.2">
      <c r="A48" s="3" t="s">
        <v>114</v>
      </c>
    </row>
    <row r="49" spans="1:7" x14ac:dyDescent="0.2">
      <c r="A49" t="s">
        <v>70</v>
      </c>
      <c r="B49" s="2">
        <f>B47+B45</f>
        <v>22.459178862970631</v>
      </c>
      <c r="C49" s="2">
        <f>C47+C45</f>
        <v>18.092313352146103</v>
      </c>
      <c r="D49" s="2">
        <f>D47+D45</f>
        <v>19.462737173603731</v>
      </c>
      <c r="E49" s="2">
        <f>E47+E45</f>
        <v>11.754307354752417</v>
      </c>
      <c r="F49" t="s">
        <v>65</v>
      </c>
      <c r="G49" s="2">
        <f>SUM(B49:E49)</f>
        <v>71.768536743472879</v>
      </c>
    </row>
  </sheetData>
  <pageMargins left="0.75" right="0.75" top="1" bottom="1" header="0.5" footer="0.5"/>
  <pageSetup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Sheet1</vt:lpstr>
      <vt:lpstr>Sheet2</vt:lpstr>
      <vt:lpstr>Sheet3 (2)</vt:lpstr>
      <vt:lpstr>Sheet3</vt:lpstr>
      <vt:lpstr>Sheet3 (3)</vt:lpstr>
      <vt:lpstr>E-Core Data</vt:lpstr>
      <vt:lpstr>Transformer</vt:lpstr>
      <vt:lpstr>Transformer (2)</vt:lpstr>
      <vt:lpstr>Transformer (3)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Dally</dc:creator>
  <cp:lastModifiedBy>Microsoft Office User</cp:lastModifiedBy>
  <dcterms:created xsi:type="dcterms:W3CDTF">2012-02-24T19:23:29Z</dcterms:created>
  <dcterms:modified xsi:type="dcterms:W3CDTF">2017-10-30T20:11:56Z</dcterms:modified>
</cp:coreProperties>
</file>